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defaultThemeVersion="124226"/>
  <mc:AlternateContent xmlns:mc="http://schemas.openxmlformats.org/markup-compatibility/2006">
    <mc:Choice Requires="x15">
      <x15ac:absPath xmlns:x15ac="http://schemas.microsoft.com/office/spreadsheetml/2010/11/ac" url="C:\Users\Lilian\Documents\GitHub\Satysfactory-Boombox\boombox satis\Carte Gestion Alim\Simu\"/>
    </mc:Choice>
  </mc:AlternateContent>
  <xr:revisionPtr revIDLastSave="0" documentId="13_ncr:1_{5AB70071-9D8E-4F1B-AFFA-5AFAB554BFBA}" xr6:coauthVersionLast="47" xr6:coauthVersionMax="47" xr10:uidLastSave="{00000000-0000-0000-0000-000000000000}"/>
  <workbookProtection workbookAlgorithmName="SHA-512" workbookHashValue="AxlkDxsJJU5i4rgoj/ab9IPP+QOGJiN6gtEzSgpkXrf0b1FCoCMeNXh9kaxYMJOCU2yuNl6dvMkL//ziTU8Qhg==" workbookSaltValue="Hs+tbZUZ8dK1Y+/Uf/mTWQ==" workbookSpinCount="100000" lockStructure="1"/>
  <bookViews>
    <workbookView xWindow="-120" yWindow="-120" windowWidth="29040" windowHeight="15720" xr2:uid="{00000000-000D-0000-FFFF-FFFF00000000}"/>
  </bookViews>
  <sheets>
    <sheet name="LM5122_Quickstart" sheetId="2" r:id="rId1"/>
    <sheet name="Licenses" sheetId="7" r:id="rId2"/>
    <sheet name="Eff_vs_IOUT" sheetId="6" state="hidden" r:id="rId3"/>
    <sheet name="Eff_vs_VIN" sheetId="8" state="hidden" r:id="rId4"/>
    <sheet name="Plot Management" sheetId="9" state="hidden" r:id="rId5"/>
    <sheet name="Calculations" sheetId="3" state="hidden" r:id="rId6"/>
    <sheet name="EC_Table" sheetId="1" state="hidden" r:id="rId7"/>
    <sheet name="Control_Loop_Tables" sheetId="5" state="hidden" r:id="rId8"/>
    <sheet name="Tables_VS_VIN" sheetId="4" state="hidden" r:id="rId9"/>
  </sheets>
  <externalReferences>
    <externalReference r:id="rId10"/>
  </externalReferences>
  <definedNames>
    <definedName name="ACS">Calculations!$B$84</definedName>
    <definedName name="adc">Control_Loop_Tables!$B$35</definedName>
    <definedName name="adc_ea">Control_Loop_Tables!$B$59</definedName>
    <definedName name="ADC_VINmin">Calculations!$B$136</definedName>
    <definedName name="arCss">Calculations!$B$183</definedName>
    <definedName name="aRUV_lower">Calculations!$B$191</definedName>
    <definedName name="aRUV_upper">Calculations!$B$190</definedName>
    <definedName name="aRUV_upper_SEL">Calculations!$B$192</definedName>
    <definedName name="aTSSmax">Calculations!$B$184</definedName>
    <definedName name="Ccomp">Calculations!$B$170</definedName>
    <definedName name="Ccomp_S">Calculations!$B$179</definedName>
    <definedName name="CHF">Calculations!$B$171</definedName>
    <definedName name="CHF_S">Calculations!$B$180</definedName>
    <definedName name="COUT">Calculations!$B$115</definedName>
    <definedName name="DC_VIN_var_DCM">Control_Loop_Tables!$B$65</definedName>
    <definedName name="EFF_est">Calculations!$B$8</definedName>
    <definedName name="EFF_IOUT">'Plot Management'!$B$3</definedName>
    <definedName name="Eff_Plot_image">INDIRECT('Plot Management'!$A$1)</definedName>
    <definedName name="EFF_VIN">'Plot Management'!$B$5</definedName>
    <definedName name="eta">Calculations!$B$7</definedName>
    <definedName name="Fco_calc">Calculations!$B$167</definedName>
    <definedName name="Fcross">Calculations!$B$168</definedName>
    <definedName name="fp_lf_VINmin">Calculations!$B$139</definedName>
    <definedName name="fsw">Calculations!$B$6</definedName>
    <definedName name="fz_esr_VINmin">Calculations!$B$142</definedName>
    <definedName name="fz_rhp_VINmin">Calculations!$B$145</definedName>
    <definedName name="Gcomp">Control_Loop_Tables!$B$28</definedName>
    <definedName name="gfs">Calculations!$B$209</definedName>
    <definedName name="Graph_Text">Calculations!$B$21</definedName>
    <definedName name="IHYS">Calculations!$G$184</definedName>
    <definedName name="IHYSmin">Calculations!$G$186</definedName>
    <definedName name="IOUT">Calculations!$B$10</definedName>
    <definedName name="IOUT_np">Calculations!$B$12</definedName>
    <definedName name="IOUT_vari">Control_Loop_Tables!$B$15</definedName>
    <definedName name="IQ">EC_Table!$D$6</definedName>
    <definedName name="Isl">Control_Loop_Tables!$B$26</definedName>
    <definedName name="ISS">Calculations!$G$183</definedName>
    <definedName name="k_slope_selected">Calculations!$B$98</definedName>
    <definedName name="Kd">Control_Loop_Tables!$B$33</definedName>
    <definedName name="Kd_VINmin">Calculations!$B$132</definedName>
    <definedName name="kex">Control_Loop_Tables!$B$31</definedName>
    <definedName name="Kex_VINmin">Calculations!$B$130</definedName>
    <definedName name="km">Control_Loop_Tables!$B$32</definedName>
    <definedName name="Km_VINmin">Calculations!$B$131</definedName>
    <definedName name="Lm">Calculations!$B$42</definedName>
    <definedName name="LO">Calculations!$B$187</definedName>
    <definedName name="M_LIMIT">Calculations!$B$82</definedName>
    <definedName name="np">Calculations!$B$11</definedName>
    <definedName name="pTSSmin">Calculations!$B$182</definedName>
    <definedName name="Q">Control_Loop_Tables!$B$49</definedName>
    <definedName name="Q_VINmin">Calculations!$B$153</definedName>
    <definedName name="Qg_tot">Calculations!$B$204</definedName>
    <definedName name="Qg_tot_HS">Calculations!$B$221</definedName>
    <definedName name="Qgd">Calculations!$B$205</definedName>
    <definedName name="Qgs">Calculations!$B$206</definedName>
    <definedName name="Qrr">Calculations!$B$229</definedName>
    <definedName name="R_RT">Calculations!$B$24</definedName>
    <definedName name="R_sl">Control_Loop_Tables!$B$24</definedName>
    <definedName name="Rcomp">Calculations!$B$169</definedName>
    <definedName name="Rcomp_S">Calculations!$B$178</definedName>
    <definedName name="Rcs">Calculations!$B$87</definedName>
    <definedName name="rCss">Calculations!$C$183</definedName>
    <definedName name="Rdcr">Calculations!$B$43</definedName>
    <definedName name="RDS_on">Calculations!$B$203</definedName>
    <definedName name="RDS_on_HS">Calculations!$B$220</definedName>
    <definedName name="RESR">Calculations!$B$117</definedName>
    <definedName name="RFB_BOT">Calculations!$B$161</definedName>
    <definedName name="RFB_BOT_S">Calculations!$B$162</definedName>
    <definedName name="RFB_TOP">Calculations!$B$160</definedName>
    <definedName name="RFBB">Control_Loop_Tables!$B$54</definedName>
    <definedName name="RFBT">Control_Loop_Tables!$B$53</definedName>
    <definedName name="Rgate">Calculations!$B$207</definedName>
    <definedName name="RHP_freq">Calculations!$B$122</definedName>
    <definedName name="RR">Calculations!$B$40</definedName>
    <definedName name="Rsl_int">Control_Loop_Tables!$B$25</definedName>
    <definedName name="Rslope">Calculations!$B$101</definedName>
    <definedName name="RUV_lower">Calculations!$C$191</definedName>
    <definedName name="RUV_upper">Calculations!$C$190</definedName>
    <definedName name="RUV_upper_SEL">Calculations!$C$192</definedName>
    <definedName name="Se">Control_Loop_Tables!$B$47</definedName>
    <definedName name="Se_VINmin">Calculations!$B$149</definedName>
    <definedName name="Sn">Control_Loop_Tables!$B$46</definedName>
    <definedName name="Sn_VINmin">Calculations!$B$150</definedName>
    <definedName name="t_dead">EC_Table!$D$114</definedName>
    <definedName name="tf_sw">Calculations!$B$216</definedName>
    <definedName name="tr_sw">Calculations!$B$215</definedName>
    <definedName name="TSSmax">Calculations!$C$184</definedName>
    <definedName name="TSSmin">Calculations!$C$182</definedName>
    <definedName name="UVLO_OFF">Calculations!$B$188</definedName>
    <definedName name="UVLO_ON">Calculations!$B$187</definedName>
    <definedName name="UVth">Calculations!$G$185</definedName>
    <definedName name="Uvthmin">Calculations!$G$187</definedName>
    <definedName name="VCC">Calculations!$B$14</definedName>
    <definedName name="VCL">Calculations!$B$85</definedName>
    <definedName name="Vd_rect">Calculations!$B$230</definedName>
    <definedName name="VHYS">Calculations!$B$189</definedName>
    <definedName name="VIN_MAX">Calculations!$B$5</definedName>
    <definedName name="VIN_MIN">Calculations!$B$3</definedName>
    <definedName name="VIN_TYP">Calculations!$B$4</definedName>
    <definedName name="Vin_vari">LM5122_Quickstart!$I$82</definedName>
    <definedName name="VINSHUTDOWN">Calculations!$B$194</definedName>
    <definedName name="VINSTARTUP">Calculations!$B$187</definedName>
    <definedName name="VOUT">Calculations!$B$9</definedName>
    <definedName name="VOUT_VAR">Control_Loop_Tables!$B$17</definedName>
    <definedName name="VREF">EC_Table!$D$32</definedName>
    <definedName name="Vsl">Control_Loop_Tables!$B$27</definedName>
    <definedName name="Vslo">Control_Loop_Tables!$B$27</definedName>
    <definedName name="vth">Calculations!$B$210</definedName>
    <definedName name="w_p_low">Calculations!$B$125</definedName>
    <definedName name="w_RHP">Calculations!$B$121</definedName>
    <definedName name="w_Z_ESR">Calculations!$B$123</definedName>
    <definedName name="wp_lf">Control_Loop_Tables!$B$36</definedName>
    <definedName name="wp_lf_DCM">Control_Loop_Tables!$B$68</definedName>
    <definedName name="wp_lf_VINmin">Calculations!$B$138</definedName>
    <definedName name="wp0_ea">Control_Loop_Tables!$B$61</definedName>
    <definedName name="wp1_ea">Control_Loop_Tables!$B$62</definedName>
    <definedName name="wsl">Control_Loop_Tables!$B$48</definedName>
    <definedName name="wsl_VINmin">Calculations!$B$152</definedName>
    <definedName name="wz_ea">Control_Loop_Tables!$B$60</definedName>
    <definedName name="wz_esr">Control_Loop_Tables!$B$42</definedName>
    <definedName name="wz_esr_VINmin">Calculations!$B$141</definedName>
    <definedName name="wz_rhp">Control_Loop_Tables!$B$39</definedName>
    <definedName name="wz_RHP_VINmin">Calculations!$B$144</definedName>
    <definedName name="wz1_dcm">Control_Loop_Tables!$B$70</definedName>
    <definedName name="wz2_dcm">Control_Loop_Tables!$B$72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9" l="1"/>
  <c r="C21" i="3"/>
  <c r="B162" i="3" l="1"/>
  <c r="B192" i="3" l="1"/>
  <c r="B188" i="3"/>
  <c r="B187" i="3"/>
  <c r="C115" i="1"/>
  <c r="C114" i="1"/>
  <c r="E115" i="1"/>
  <c r="E114" i="1"/>
  <c r="D115" i="1"/>
  <c r="D114" i="1"/>
  <c r="B230" i="3"/>
  <c r="B229" i="3"/>
  <c r="B227" i="3"/>
  <c r="B224" i="3"/>
  <c r="B223" i="3"/>
  <c r="B222" i="3"/>
  <c r="B221" i="3"/>
  <c r="B220" i="3"/>
  <c r="B203" i="3"/>
  <c r="B206" i="3"/>
  <c r="B205" i="3"/>
  <c r="B204" i="3"/>
  <c r="B207" i="3"/>
  <c r="B210" i="3"/>
  <c r="N19" i="5" l="1"/>
  <c r="N560" i="5"/>
  <c r="N559" i="5"/>
  <c r="N558" i="5"/>
  <c r="N557" i="5"/>
  <c r="N556" i="5"/>
  <c r="N555" i="5"/>
  <c r="N554" i="5"/>
  <c r="N553" i="5"/>
  <c r="N552" i="5"/>
  <c r="N551" i="5"/>
  <c r="N550" i="5"/>
  <c r="N549" i="5"/>
  <c r="N548" i="5"/>
  <c r="N547" i="5"/>
  <c r="N546" i="5"/>
  <c r="N545" i="5"/>
  <c r="N544" i="5"/>
  <c r="N543" i="5"/>
  <c r="N542" i="5"/>
  <c r="N541" i="5"/>
  <c r="N540" i="5"/>
  <c r="N539" i="5"/>
  <c r="N538" i="5"/>
  <c r="N537" i="5"/>
  <c r="N536" i="5"/>
  <c r="N535" i="5"/>
  <c r="N534" i="5"/>
  <c r="N533" i="5"/>
  <c r="N532" i="5"/>
  <c r="N531" i="5"/>
  <c r="N530" i="5"/>
  <c r="N529" i="5"/>
  <c r="N528" i="5"/>
  <c r="N527" i="5"/>
  <c r="N526" i="5"/>
  <c r="N525" i="5"/>
  <c r="N524" i="5"/>
  <c r="N523" i="5"/>
  <c r="N522" i="5"/>
  <c r="N521" i="5"/>
  <c r="N520" i="5"/>
  <c r="N519" i="5"/>
  <c r="N518" i="5"/>
  <c r="N517" i="5"/>
  <c r="N516" i="5"/>
  <c r="N515" i="5"/>
  <c r="N514" i="5"/>
  <c r="N513" i="5"/>
  <c r="N512" i="5"/>
  <c r="N511" i="5"/>
  <c r="N510" i="5"/>
  <c r="N509" i="5"/>
  <c r="N508" i="5"/>
  <c r="N507" i="5"/>
  <c r="N506" i="5"/>
  <c r="N505" i="5"/>
  <c r="N504" i="5"/>
  <c r="N503" i="5"/>
  <c r="N502" i="5"/>
  <c r="N501" i="5"/>
  <c r="N500" i="5"/>
  <c r="N499" i="5"/>
  <c r="N498" i="5"/>
  <c r="N497" i="5"/>
  <c r="N496" i="5"/>
  <c r="N495" i="5"/>
  <c r="N494" i="5"/>
  <c r="N493" i="5"/>
  <c r="N492" i="5"/>
  <c r="N491" i="5"/>
  <c r="N490" i="5"/>
  <c r="N489" i="5"/>
  <c r="N488" i="5"/>
  <c r="N487" i="5"/>
  <c r="N486" i="5"/>
  <c r="N485" i="5"/>
  <c r="N484" i="5"/>
  <c r="N483" i="5"/>
  <c r="N482" i="5"/>
  <c r="N481" i="5"/>
  <c r="N480" i="5"/>
  <c r="N479" i="5"/>
  <c r="N478" i="5"/>
  <c r="N477" i="5"/>
  <c r="N476" i="5"/>
  <c r="N475" i="5"/>
  <c r="N474" i="5"/>
  <c r="N473" i="5"/>
  <c r="N472" i="5"/>
  <c r="N471" i="5"/>
  <c r="N470" i="5"/>
  <c r="N469" i="5"/>
  <c r="N468" i="5"/>
  <c r="N467" i="5"/>
  <c r="N466" i="5"/>
  <c r="N465" i="5"/>
  <c r="N464" i="5"/>
  <c r="N463" i="5"/>
  <c r="N462" i="5"/>
  <c r="N461" i="5"/>
  <c r="N460" i="5"/>
  <c r="N459" i="5"/>
  <c r="N458" i="5"/>
  <c r="N457" i="5"/>
  <c r="N456" i="5"/>
  <c r="N455" i="5"/>
  <c r="N454" i="5"/>
  <c r="N453" i="5"/>
  <c r="N452" i="5"/>
  <c r="N451" i="5"/>
  <c r="N450" i="5"/>
  <c r="N449" i="5"/>
  <c r="N448" i="5"/>
  <c r="N447" i="5"/>
  <c r="N446" i="5"/>
  <c r="N445" i="5"/>
  <c r="N444" i="5"/>
  <c r="N443" i="5"/>
  <c r="N442" i="5"/>
  <c r="N441" i="5"/>
  <c r="N440" i="5"/>
  <c r="N439" i="5"/>
  <c r="N438" i="5"/>
  <c r="N437" i="5"/>
  <c r="N436" i="5"/>
  <c r="N435" i="5"/>
  <c r="N434" i="5"/>
  <c r="N433" i="5"/>
  <c r="N432" i="5"/>
  <c r="N431" i="5"/>
  <c r="N430" i="5"/>
  <c r="N429" i="5"/>
  <c r="N428" i="5"/>
  <c r="N427" i="5"/>
  <c r="N426" i="5"/>
  <c r="N425" i="5"/>
  <c r="N424" i="5"/>
  <c r="N423" i="5"/>
  <c r="N422" i="5"/>
  <c r="N421" i="5"/>
  <c r="N420" i="5"/>
  <c r="N419" i="5"/>
  <c r="N418" i="5"/>
  <c r="N417" i="5"/>
  <c r="N416" i="5"/>
  <c r="N415" i="5"/>
  <c r="N414" i="5"/>
  <c r="N413" i="5"/>
  <c r="N412" i="5"/>
  <c r="N411" i="5"/>
  <c r="N410" i="5"/>
  <c r="N409" i="5"/>
  <c r="N408" i="5"/>
  <c r="N407" i="5"/>
  <c r="N406" i="5"/>
  <c r="N405" i="5"/>
  <c r="N404" i="5"/>
  <c r="N403" i="5"/>
  <c r="N402" i="5"/>
  <c r="N401" i="5"/>
  <c r="N400" i="5"/>
  <c r="N399" i="5"/>
  <c r="N398" i="5"/>
  <c r="N397" i="5"/>
  <c r="N396" i="5"/>
  <c r="N395" i="5"/>
  <c r="N394" i="5"/>
  <c r="N393" i="5"/>
  <c r="N392" i="5"/>
  <c r="N391" i="5"/>
  <c r="N390" i="5"/>
  <c r="N389" i="5"/>
  <c r="N388" i="5"/>
  <c r="N387" i="5"/>
  <c r="N386" i="5"/>
  <c r="N385" i="5"/>
  <c r="N384" i="5"/>
  <c r="N383" i="5"/>
  <c r="N382" i="5"/>
  <c r="N381" i="5"/>
  <c r="N380" i="5"/>
  <c r="N379" i="5"/>
  <c r="N378" i="5"/>
  <c r="N377" i="5"/>
  <c r="N376" i="5"/>
  <c r="N375" i="5"/>
  <c r="N374" i="5"/>
  <c r="N373" i="5"/>
  <c r="N372" i="5"/>
  <c r="N371" i="5"/>
  <c r="N370" i="5"/>
  <c r="N369" i="5"/>
  <c r="N368" i="5"/>
  <c r="N367" i="5"/>
  <c r="N366" i="5"/>
  <c r="N365" i="5"/>
  <c r="N364" i="5"/>
  <c r="N363" i="5"/>
  <c r="N362" i="5"/>
  <c r="N361" i="5"/>
  <c r="N360" i="5"/>
  <c r="N359" i="5"/>
  <c r="N358" i="5"/>
  <c r="N357" i="5"/>
  <c r="N356" i="5"/>
  <c r="N355" i="5"/>
  <c r="N354" i="5"/>
  <c r="N353" i="5"/>
  <c r="N352" i="5"/>
  <c r="N351" i="5"/>
  <c r="N350" i="5"/>
  <c r="N349" i="5"/>
  <c r="N348" i="5"/>
  <c r="N347" i="5"/>
  <c r="N346" i="5"/>
  <c r="N345" i="5"/>
  <c r="N344" i="5"/>
  <c r="N343" i="5"/>
  <c r="N342" i="5"/>
  <c r="N341" i="5"/>
  <c r="N340" i="5"/>
  <c r="N339" i="5"/>
  <c r="N338" i="5"/>
  <c r="N337" i="5"/>
  <c r="N336" i="5"/>
  <c r="N335" i="5"/>
  <c r="N334" i="5"/>
  <c r="N333" i="5"/>
  <c r="N332" i="5"/>
  <c r="N331" i="5"/>
  <c r="N330" i="5"/>
  <c r="N329" i="5"/>
  <c r="N328" i="5"/>
  <c r="N327" i="5"/>
  <c r="N326" i="5"/>
  <c r="N325" i="5"/>
  <c r="N324" i="5"/>
  <c r="N323" i="5"/>
  <c r="N322" i="5"/>
  <c r="N321" i="5"/>
  <c r="N320" i="5"/>
  <c r="N319" i="5"/>
  <c r="N318" i="5"/>
  <c r="N317" i="5"/>
  <c r="N316" i="5"/>
  <c r="N315" i="5"/>
  <c r="N314" i="5"/>
  <c r="N313" i="5"/>
  <c r="N312" i="5"/>
  <c r="N311" i="5"/>
  <c r="N310" i="5"/>
  <c r="N309" i="5"/>
  <c r="N308" i="5"/>
  <c r="N307" i="5"/>
  <c r="N306" i="5"/>
  <c r="N305" i="5"/>
  <c r="N304" i="5"/>
  <c r="N303" i="5"/>
  <c r="N302" i="5"/>
  <c r="N301" i="5"/>
  <c r="N300" i="5"/>
  <c r="N299" i="5"/>
  <c r="N298" i="5"/>
  <c r="N297" i="5"/>
  <c r="N296" i="5"/>
  <c r="N295" i="5"/>
  <c r="N294" i="5"/>
  <c r="N293" i="5"/>
  <c r="N292" i="5"/>
  <c r="N291" i="5"/>
  <c r="N290" i="5"/>
  <c r="N289" i="5"/>
  <c r="N288" i="5"/>
  <c r="N287" i="5"/>
  <c r="N286" i="5"/>
  <c r="N285" i="5"/>
  <c r="N284" i="5"/>
  <c r="N283" i="5"/>
  <c r="N282" i="5"/>
  <c r="N281" i="5"/>
  <c r="N280" i="5"/>
  <c r="N279" i="5"/>
  <c r="N278" i="5"/>
  <c r="N277" i="5"/>
  <c r="N276" i="5"/>
  <c r="N275" i="5"/>
  <c r="N274" i="5"/>
  <c r="N273" i="5"/>
  <c r="N272" i="5"/>
  <c r="N271" i="5"/>
  <c r="N270" i="5"/>
  <c r="N269" i="5"/>
  <c r="N268" i="5"/>
  <c r="N267" i="5"/>
  <c r="N266" i="5"/>
  <c r="N265" i="5"/>
  <c r="N264" i="5"/>
  <c r="N263" i="5"/>
  <c r="N262" i="5"/>
  <c r="N261" i="5"/>
  <c r="N260" i="5"/>
  <c r="N259" i="5"/>
  <c r="N258" i="5"/>
  <c r="N257" i="5"/>
  <c r="N256" i="5"/>
  <c r="N255" i="5"/>
  <c r="N254" i="5"/>
  <c r="N253" i="5"/>
  <c r="N252" i="5"/>
  <c r="N251" i="5"/>
  <c r="N250" i="5"/>
  <c r="N249" i="5"/>
  <c r="N248" i="5"/>
  <c r="N247" i="5"/>
  <c r="N246" i="5"/>
  <c r="N245" i="5"/>
  <c r="N244" i="5"/>
  <c r="N243" i="5"/>
  <c r="N242" i="5"/>
  <c r="N241" i="5"/>
  <c r="N240" i="5"/>
  <c r="N239" i="5"/>
  <c r="N238" i="5"/>
  <c r="N237" i="5"/>
  <c r="N236" i="5"/>
  <c r="N235" i="5"/>
  <c r="N234" i="5"/>
  <c r="N233" i="5"/>
  <c r="N232" i="5"/>
  <c r="N231" i="5"/>
  <c r="N230" i="5"/>
  <c r="N229" i="5"/>
  <c r="N228" i="5"/>
  <c r="N227" i="5"/>
  <c r="N226" i="5"/>
  <c r="N225" i="5"/>
  <c r="N224" i="5"/>
  <c r="N223" i="5"/>
  <c r="N222" i="5"/>
  <c r="N221" i="5"/>
  <c r="N220" i="5"/>
  <c r="N219" i="5"/>
  <c r="N218" i="5"/>
  <c r="N217" i="5"/>
  <c r="N216" i="5"/>
  <c r="N215" i="5"/>
  <c r="N214" i="5"/>
  <c r="N213" i="5"/>
  <c r="N212" i="5"/>
  <c r="N211" i="5"/>
  <c r="N210" i="5"/>
  <c r="N209" i="5"/>
  <c r="N208" i="5"/>
  <c r="N207" i="5"/>
  <c r="N206" i="5"/>
  <c r="N205" i="5"/>
  <c r="N204" i="5"/>
  <c r="N203" i="5"/>
  <c r="N202" i="5"/>
  <c r="N201" i="5"/>
  <c r="N200" i="5"/>
  <c r="N199" i="5"/>
  <c r="N198" i="5"/>
  <c r="N197" i="5"/>
  <c r="N196" i="5"/>
  <c r="N195" i="5"/>
  <c r="N194" i="5"/>
  <c r="N193" i="5"/>
  <c r="N192" i="5"/>
  <c r="N191" i="5"/>
  <c r="N190" i="5"/>
  <c r="N189" i="5"/>
  <c r="N188" i="5"/>
  <c r="N187" i="5"/>
  <c r="N186" i="5"/>
  <c r="N185" i="5"/>
  <c r="N184" i="5"/>
  <c r="N183" i="5"/>
  <c r="N182" i="5"/>
  <c r="N181" i="5"/>
  <c r="N180" i="5"/>
  <c r="N179" i="5"/>
  <c r="N178" i="5"/>
  <c r="N177" i="5"/>
  <c r="N176" i="5"/>
  <c r="N175" i="5"/>
  <c r="N174" i="5"/>
  <c r="N173" i="5"/>
  <c r="N172" i="5"/>
  <c r="N171" i="5"/>
  <c r="N170" i="5"/>
  <c r="N169" i="5"/>
  <c r="N168" i="5"/>
  <c r="N167" i="5"/>
  <c r="N166" i="5"/>
  <c r="N165" i="5"/>
  <c r="N164" i="5"/>
  <c r="N163" i="5"/>
  <c r="N162" i="5"/>
  <c r="N161" i="5"/>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B17" i="3"/>
  <c r="K19" i="5" l="1"/>
  <c r="B182" i="3"/>
  <c r="C182" i="3" s="1"/>
  <c r="B111" i="3"/>
  <c r="B9" i="3"/>
  <c r="B10" i="3"/>
  <c r="S157" i="8" l="1"/>
  <c r="S149" i="8"/>
  <c r="S141" i="8"/>
  <c r="S133" i="8"/>
  <c r="S125" i="8"/>
  <c r="S117" i="8"/>
  <c r="S109" i="8"/>
  <c r="S101" i="8"/>
  <c r="S93" i="8"/>
  <c r="S85" i="8"/>
  <c r="S77" i="8"/>
  <c r="S69" i="8"/>
  <c r="S61" i="8"/>
  <c r="S53" i="8"/>
  <c r="S45" i="8"/>
  <c r="S37" i="8"/>
  <c r="S29" i="8"/>
  <c r="S21" i="8"/>
  <c r="S13" i="8"/>
  <c r="S152" i="8"/>
  <c r="S120" i="8"/>
  <c r="S96" i="8"/>
  <c r="S56" i="8"/>
  <c r="S156" i="8"/>
  <c r="S148" i="8"/>
  <c r="S140" i="8"/>
  <c r="S132" i="8"/>
  <c r="S124" i="8"/>
  <c r="S116" i="8"/>
  <c r="S108" i="8"/>
  <c r="S100" i="8"/>
  <c r="S92" i="8"/>
  <c r="S84" i="8"/>
  <c r="S76" i="8"/>
  <c r="S68" i="8"/>
  <c r="S60" i="8"/>
  <c r="S52" i="8"/>
  <c r="S44" i="8"/>
  <c r="S36" i="8"/>
  <c r="S28" i="8"/>
  <c r="S20" i="8"/>
  <c r="S12" i="8"/>
  <c r="S136" i="8"/>
  <c r="S80" i="8"/>
  <c r="S48" i="8"/>
  <c r="S155" i="8"/>
  <c r="S147" i="8"/>
  <c r="S139" i="8"/>
  <c r="S131" i="8"/>
  <c r="S123" i="8"/>
  <c r="S115" i="8"/>
  <c r="S107" i="8"/>
  <c r="S99" i="8"/>
  <c r="S91" i="8"/>
  <c r="S83" i="8"/>
  <c r="S75" i="8"/>
  <c r="S67" i="8"/>
  <c r="S59" i="8"/>
  <c r="S51" i="8"/>
  <c r="S43" i="8"/>
  <c r="S35" i="8"/>
  <c r="S27" i="8"/>
  <c r="S19" i="8"/>
  <c r="S11" i="8"/>
  <c r="S128" i="8"/>
  <c r="S72" i="8"/>
  <c r="S32" i="8"/>
  <c r="S154" i="8"/>
  <c r="S146" i="8"/>
  <c r="S138" i="8"/>
  <c r="S130" i="8"/>
  <c r="S122" i="8"/>
  <c r="S114" i="8"/>
  <c r="S106" i="8"/>
  <c r="S98" i="8"/>
  <c r="S90" i="8"/>
  <c r="S82" i="8"/>
  <c r="S74" i="8"/>
  <c r="S66" i="8"/>
  <c r="S58" i="8"/>
  <c r="S50" i="8"/>
  <c r="S42" i="8"/>
  <c r="S34" i="8"/>
  <c r="S26" i="8"/>
  <c r="S18" i="8"/>
  <c r="S10" i="8"/>
  <c r="S144" i="8"/>
  <c r="S112" i="8"/>
  <c r="S88" i="8"/>
  <c r="S64" i="8"/>
  <c r="S40" i="8"/>
  <c r="S153" i="8"/>
  <c r="S145" i="8"/>
  <c r="S137" i="8"/>
  <c r="S129" i="8"/>
  <c r="S121" i="8"/>
  <c r="S113" i="8"/>
  <c r="S105" i="8"/>
  <c r="S97" i="8"/>
  <c r="S89" i="8"/>
  <c r="S81" i="8"/>
  <c r="S73" i="8"/>
  <c r="S65" i="8"/>
  <c r="S57" i="8"/>
  <c r="S49" i="8"/>
  <c r="S41" i="8"/>
  <c r="S33" i="8"/>
  <c r="S25" i="8"/>
  <c r="S17" i="8"/>
  <c r="S9" i="8"/>
  <c r="S104" i="8"/>
  <c r="S151" i="8"/>
  <c r="S143" i="8"/>
  <c r="S135" i="8"/>
  <c r="S127" i="8"/>
  <c r="S119" i="8"/>
  <c r="S111" i="8"/>
  <c r="S103" i="8"/>
  <c r="S95" i="8"/>
  <c r="S87" i="8"/>
  <c r="S79" i="8"/>
  <c r="S71" i="8"/>
  <c r="S63" i="8"/>
  <c r="S55" i="8"/>
  <c r="S47" i="8"/>
  <c r="S39" i="8"/>
  <c r="S31" i="8"/>
  <c r="S23" i="8"/>
  <c r="S15" i="8"/>
  <c r="S118" i="8"/>
  <c r="S54" i="8"/>
  <c r="S8" i="8"/>
  <c r="S102" i="8"/>
  <c r="S16" i="8"/>
  <c r="S110" i="8"/>
  <c r="S46" i="8"/>
  <c r="S7" i="8"/>
  <c r="S30" i="8"/>
  <c r="S62" i="8"/>
  <c r="S38" i="8"/>
  <c r="S94" i="8"/>
  <c r="S70" i="8"/>
  <c r="S14" i="8"/>
  <c r="S150" i="8"/>
  <c r="S86" i="8"/>
  <c r="S24" i="8"/>
  <c r="S126" i="8"/>
  <c r="S142" i="8"/>
  <c r="S78" i="8"/>
  <c r="S22" i="8"/>
  <c r="S134" i="8"/>
  <c r="R14" i="8"/>
  <c r="R11" i="8"/>
  <c r="R157" i="8"/>
  <c r="R153" i="8"/>
  <c r="R149" i="8"/>
  <c r="AV149" i="8" s="1"/>
  <c r="R145" i="8"/>
  <c r="R141" i="8"/>
  <c r="R137" i="8"/>
  <c r="R133" i="8"/>
  <c r="R129" i="8"/>
  <c r="R125" i="8"/>
  <c r="AV125" i="8" s="1"/>
  <c r="R121" i="8"/>
  <c r="R117" i="8"/>
  <c r="AV117" i="8" s="1"/>
  <c r="R113" i="8"/>
  <c r="R109" i="8"/>
  <c r="R105" i="8"/>
  <c r="R101" i="8"/>
  <c r="AV101" i="8" s="1"/>
  <c r="R97" i="8"/>
  <c r="R93" i="8"/>
  <c r="R89" i="8"/>
  <c r="R85" i="8"/>
  <c r="R81" i="8"/>
  <c r="AV81" i="8" s="1"/>
  <c r="R77" i="8"/>
  <c r="R73" i="8"/>
  <c r="AV73" i="8" s="1"/>
  <c r="R69" i="8"/>
  <c r="R65" i="8"/>
  <c r="R61" i="8"/>
  <c r="AV61" i="8" s="1"/>
  <c r="R57" i="8"/>
  <c r="R53" i="8"/>
  <c r="AV53" i="8" s="1"/>
  <c r="R49" i="8"/>
  <c r="R45" i="8"/>
  <c r="R41" i="8"/>
  <c r="R37" i="8"/>
  <c r="AV37" i="8" s="1"/>
  <c r="R33" i="8"/>
  <c r="R29" i="8"/>
  <c r="R25" i="8"/>
  <c r="R21" i="8"/>
  <c r="AV21" i="8" s="1"/>
  <c r="R17" i="8"/>
  <c r="AV17" i="8" s="1"/>
  <c r="R13" i="8"/>
  <c r="R7" i="8"/>
  <c r="R156" i="8"/>
  <c r="AV156" i="8" s="1"/>
  <c r="R152" i="8"/>
  <c r="R148" i="8"/>
  <c r="R144" i="8"/>
  <c r="R140" i="8"/>
  <c r="AV140" i="8" s="1"/>
  <c r="R136" i="8"/>
  <c r="R132" i="8"/>
  <c r="R128" i="8"/>
  <c r="R124" i="8"/>
  <c r="R120" i="8"/>
  <c r="AV120" i="8" s="1"/>
  <c r="R116" i="8"/>
  <c r="AV116" i="8" s="1"/>
  <c r="R112" i="8"/>
  <c r="R108" i="8"/>
  <c r="AV108" i="8" s="1"/>
  <c r="R104" i="8"/>
  <c r="R100" i="8"/>
  <c r="R96" i="8"/>
  <c r="R92" i="8"/>
  <c r="R88" i="8"/>
  <c r="AV88" i="8" s="1"/>
  <c r="R84" i="8"/>
  <c r="R80" i="8"/>
  <c r="R76" i="8"/>
  <c r="R72" i="8"/>
  <c r="R68" i="8"/>
  <c r="R64" i="8"/>
  <c r="R60" i="8"/>
  <c r="R56" i="8"/>
  <c r="R52" i="8"/>
  <c r="AV52" i="8" s="1"/>
  <c r="R48" i="8"/>
  <c r="R44" i="8"/>
  <c r="AV44" i="8" s="1"/>
  <c r="R40" i="8"/>
  <c r="R36" i="8"/>
  <c r="R32" i="8"/>
  <c r="R28" i="8"/>
  <c r="AV28" i="8" s="1"/>
  <c r="R24" i="8"/>
  <c r="R20" i="8"/>
  <c r="R16" i="8"/>
  <c r="R10" i="8"/>
  <c r="AV10" i="8" s="1"/>
  <c r="R143" i="8"/>
  <c r="R127" i="8"/>
  <c r="R111" i="8"/>
  <c r="R95" i="8"/>
  <c r="R79" i="8"/>
  <c r="AV79" i="8" s="1"/>
  <c r="R63" i="8"/>
  <c r="R47" i="8"/>
  <c r="AV47" i="8" s="1"/>
  <c r="R31" i="8"/>
  <c r="R15" i="8"/>
  <c r="R126" i="8"/>
  <c r="R110" i="8"/>
  <c r="AV110" i="8" s="1"/>
  <c r="R94" i="8"/>
  <c r="AV94" i="8" s="1"/>
  <c r="R62" i="8"/>
  <c r="R46" i="8"/>
  <c r="R30" i="8"/>
  <c r="R155" i="8"/>
  <c r="R139" i="8"/>
  <c r="R123" i="8"/>
  <c r="R91" i="8"/>
  <c r="R75" i="8"/>
  <c r="AV75" i="8" s="1"/>
  <c r="R59" i="8"/>
  <c r="R27" i="8"/>
  <c r="AV27" i="8" s="1"/>
  <c r="R154" i="8"/>
  <c r="R106" i="8"/>
  <c r="AV106" i="8" s="1"/>
  <c r="R42" i="8"/>
  <c r="R23" i="8"/>
  <c r="R134" i="8"/>
  <c r="R38" i="8"/>
  <c r="R147" i="8"/>
  <c r="R83" i="8"/>
  <c r="R19" i="8"/>
  <c r="R146" i="8"/>
  <c r="R34" i="8"/>
  <c r="R142" i="8"/>
  <c r="R78" i="8"/>
  <c r="R12" i="8"/>
  <c r="AV12" i="8" s="1"/>
  <c r="R138" i="8"/>
  <c r="R122" i="8"/>
  <c r="R74" i="8"/>
  <c r="R58" i="8"/>
  <c r="R9" i="8"/>
  <c r="AV9" i="8" s="1"/>
  <c r="R86" i="8"/>
  <c r="R8" i="8"/>
  <c r="R67" i="8"/>
  <c r="R130" i="8"/>
  <c r="R66" i="8"/>
  <c r="R107" i="8"/>
  <c r="R43" i="8"/>
  <c r="AV43" i="8" s="1"/>
  <c r="R90" i="8"/>
  <c r="R26" i="8"/>
  <c r="R39" i="8"/>
  <c r="R102" i="8"/>
  <c r="AV102" i="8" s="1"/>
  <c r="R22" i="8"/>
  <c r="R115" i="8"/>
  <c r="R35" i="8"/>
  <c r="AV35" i="8" s="1"/>
  <c r="R98" i="8"/>
  <c r="R50" i="8"/>
  <c r="R151" i="8"/>
  <c r="R135" i="8"/>
  <c r="R119" i="8"/>
  <c r="R103" i="8"/>
  <c r="R87" i="8"/>
  <c r="R71" i="8"/>
  <c r="R55" i="8"/>
  <c r="AV55" i="8" s="1"/>
  <c r="R118" i="8"/>
  <c r="R54" i="8"/>
  <c r="R99" i="8"/>
  <c r="AV99" i="8" s="1"/>
  <c r="R114" i="8"/>
  <c r="AV114" i="8" s="1"/>
  <c r="R18" i="8"/>
  <c r="AV18" i="8" s="1"/>
  <c r="R150" i="8"/>
  <c r="R70" i="8"/>
  <c r="R131" i="8"/>
  <c r="R51" i="8"/>
  <c r="R82" i="8"/>
  <c r="R156" i="6"/>
  <c r="R134" i="6"/>
  <c r="R131" i="6"/>
  <c r="R123" i="6"/>
  <c r="R120" i="6"/>
  <c r="R153" i="6"/>
  <c r="R148" i="6"/>
  <c r="R142" i="6"/>
  <c r="R137" i="6"/>
  <c r="R128" i="6"/>
  <c r="R125" i="6"/>
  <c r="R111" i="6"/>
  <c r="R101" i="6"/>
  <c r="R84" i="6"/>
  <c r="R76" i="6"/>
  <c r="R56" i="6"/>
  <c r="R50" i="6"/>
  <c r="R45" i="6"/>
  <c r="R39" i="6"/>
  <c r="R34" i="6"/>
  <c r="R31" i="6"/>
  <c r="R15" i="6"/>
  <c r="R12" i="6"/>
  <c r="R136" i="6"/>
  <c r="R150" i="6"/>
  <c r="R145" i="6"/>
  <c r="R139" i="6"/>
  <c r="R119" i="6"/>
  <c r="R114" i="6"/>
  <c r="R109" i="6"/>
  <c r="R103" i="6"/>
  <c r="R98" i="6"/>
  <c r="R95" i="6"/>
  <c r="R92" i="6"/>
  <c r="R87" i="6"/>
  <c r="R67" i="6"/>
  <c r="R61" i="6"/>
  <c r="R53" i="6"/>
  <c r="R47" i="6"/>
  <c r="R28" i="6"/>
  <c r="R25" i="6"/>
  <c r="R20" i="6"/>
  <c r="R9" i="6"/>
  <c r="R155" i="6"/>
  <c r="R133" i="6"/>
  <c r="R127" i="6"/>
  <c r="R152" i="6"/>
  <c r="R143" i="6"/>
  <c r="R132" i="6"/>
  <c r="R118" i="6"/>
  <c r="R108" i="6"/>
  <c r="R97" i="6"/>
  <c r="R79" i="6"/>
  <c r="R75" i="6"/>
  <c r="R64" i="6"/>
  <c r="R57" i="6"/>
  <c r="R49" i="6"/>
  <c r="R42" i="6"/>
  <c r="R38" i="6"/>
  <c r="R35" i="6"/>
  <c r="R27" i="6"/>
  <c r="R24" i="6"/>
  <c r="R17" i="6"/>
  <c r="R46" i="6"/>
  <c r="R147" i="6"/>
  <c r="R141" i="6"/>
  <c r="R122" i="6"/>
  <c r="R104" i="6"/>
  <c r="R93" i="6"/>
  <c r="R89" i="6"/>
  <c r="R82" i="6"/>
  <c r="R78" i="6"/>
  <c r="R60" i="6"/>
  <c r="R41" i="6"/>
  <c r="R13" i="6"/>
  <c r="R40" i="6"/>
  <c r="R33" i="6"/>
  <c r="R22" i="6"/>
  <c r="R88" i="6"/>
  <c r="R62" i="6"/>
  <c r="R51" i="6"/>
  <c r="R151" i="6"/>
  <c r="R126" i="6"/>
  <c r="R117" i="6"/>
  <c r="R107" i="6"/>
  <c r="R100" i="6"/>
  <c r="R85" i="6"/>
  <c r="R74" i="6"/>
  <c r="R70" i="6"/>
  <c r="R63" i="6"/>
  <c r="R52" i="6"/>
  <c r="R23" i="6"/>
  <c r="R19" i="6"/>
  <c r="R37" i="6"/>
  <c r="R80" i="6"/>
  <c r="R29" i="6"/>
  <c r="R54" i="6"/>
  <c r="R14" i="6"/>
  <c r="R116" i="6"/>
  <c r="R110" i="6"/>
  <c r="R96" i="6"/>
  <c r="R81" i="6"/>
  <c r="R77" i="6"/>
  <c r="R69" i="6"/>
  <c r="R59" i="6"/>
  <c r="R55" i="6"/>
  <c r="R48" i="6"/>
  <c r="R44" i="6"/>
  <c r="R30" i="6"/>
  <c r="R26" i="6"/>
  <c r="R16" i="6"/>
  <c r="R11" i="6"/>
  <c r="R8" i="6"/>
  <c r="R154" i="6"/>
  <c r="R36" i="6"/>
  <c r="R68" i="6"/>
  <c r="R7" i="6"/>
  <c r="R146" i="6"/>
  <c r="R140" i="6"/>
  <c r="R135" i="6"/>
  <c r="R130" i="6"/>
  <c r="R121" i="6"/>
  <c r="R113" i="6"/>
  <c r="R106" i="6"/>
  <c r="R102" i="6"/>
  <c r="R99" i="6"/>
  <c r="R91" i="6"/>
  <c r="R73" i="6"/>
  <c r="R66" i="6"/>
  <c r="R124" i="6"/>
  <c r="R72" i="6"/>
  <c r="R58" i="6"/>
  <c r="R86" i="6"/>
  <c r="R149" i="6"/>
  <c r="R144" i="6"/>
  <c r="R115" i="6"/>
  <c r="R112" i="6"/>
  <c r="R105" i="6"/>
  <c r="R94" i="6"/>
  <c r="R83" i="6"/>
  <c r="R65" i="6"/>
  <c r="R43" i="6"/>
  <c r="R21" i="6"/>
  <c r="R18" i="6"/>
  <c r="R157" i="6"/>
  <c r="R138" i="6"/>
  <c r="R129" i="6"/>
  <c r="R90" i="6"/>
  <c r="R71" i="6"/>
  <c r="R32" i="6"/>
  <c r="R10" i="6"/>
  <c r="O12" i="6"/>
  <c r="B160" i="3"/>
  <c r="B168" i="3"/>
  <c r="N8" i="5" s="1"/>
  <c r="B177" i="3"/>
  <c r="B178" i="3"/>
  <c r="B179" i="3"/>
  <c r="B180" i="3"/>
  <c r="B84" i="3"/>
  <c r="AV14" i="8" l="1"/>
  <c r="AV91" i="8"/>
  <c r="AV95" i="8"/>
  <c r="AV39" i="8"/>
  <c r="AV74" i="8"/>
  <c r="AV22" i="8"/>
  <c r="AV92" i="8"/>
  <c r="AV70" i="8"/>
  <c r="AV78" i="8"/>
  <c r="AV67" i="8"/>
  <c r="AV146" i="8"/>
  <c r="AV76" i="8"/>
  <c r="AV155" i="8"/>
  <c r="AV85" i="8"/>
  <c r="AV134" i="8"/>
  <c r="AV111" i="8"/>
  <c r="AV48" i="8"/>
  <c r="AV96" i="8"/>
  <c r="AV137" i="8"/>
  <c r="AV82" i="8"/>
  <c r="AV103" i="8"/>
  <c r="AV138" i="8"/>
  <c r="AV145" i="8"/>
  <c r="K61" i="5"/>
  <c r="B62" i="5"/>
  <c r="B61" i="5"/>
  <c r="K59" i="5"/>
  <c r="AV135" i="8"/>
  <c r="AV64" i="8"/>
  <c r="AV41" i="8"/>
  <c r="AV105" i="8"/>
  <c r="AV123" i="8"/>
  <c r="AV118" i="8"/>
  <c r="AV42" i="8"/>
  <c r="AV72" i="8"/>
  <c r="AV71" i="8"/>
  <c r="AV30" i="8"/>
  <c r="AV59" i="8"/>
  <c r="AV24" i="8"/>
  <c r="AV16" i="8"/>
  <c r="AV32" i="8"/>
  <c r="AV128" i="8"/>
  <c r="AV7" i="8"/>
  <c r="AV50" i="8"/>
  <c r="AV131" i="8"/>
  <c r="AV98" i="8"/>
  <c r="AV20" i="8"/>
  <c r="AV84" i="8"/>
  <c r="AV148" i="8"/>
  <c r="AV29" i="8"/>
  <c r="AV93" i="8"/>
  <c r="AV86" i="8"/>
  <c r="AV15" i="8"/>
  <c r="AV143" i="8"/>
  <c r="AV49" i="8"/>
  <c r="AV113" i="8"/>
  <c r="AV157" i="8"/>
  <c r="AV69" i="8"/>
  <c r="AV54" i="8"/>
  <c r="AV26" i="8"/>
  <c r="AV142" i="8"/>
  <c r="AV126" i="8"/>
  <c r="AV127" i="8"/>
  <c r="AV68" i="8"/>
  <c r="AV132" i="8"/>
  <c r="AV13" i="8"/>
  <c r="AV77" i="8"/>
  <c r="AV141" i="8"/>
  <c r="AV119" i="8"/>
  <c r="AV38" i="8"/>
  <c r="AV60" i="8"/>
  <c r="AV124" i="8"/>
  <c r="AV133" i="8"/>
  <c r="AV8" i="8"/>
  <c r="AV51" i="8"/>
  <c r="AV90" i="8"/>
  <c r="AV34" i="8"/>
  <c r="AV40" i="8"/>
  <c r="AV136" i="8"/>
  <c r="AV63" i="8"/>
  <c r="AV107" i="8"/>
  <c r="AV154" i="8"/>
  <c r="AV80" i="8"/>
  <c r="AV25" i="8"/>
  <c r="AV89" i="8"/>
  <c r="AV153" i="8"/>
  <c r="AV115" i="8"/>
  <c r="AV62" i="8"/>
  <c r="AV152" i="8"/>
  <c r="AV33" i="8"/>
  <c r="AV97" i="8"/>
  <c r="AV36" i="8"/>
  <c r="AV100" i="8"/>
  <c r="AV45" i="8"/>
  <c r="AV109" i="8"/>
  <c r="AV104" i="8"/>
  <c r="AV31" i="8"/>
  <c r="AV19" i="8"/>
  <c r="AV144" i="8"/>
  <c r="AV66" i="8"/>
  <c r="AV83" i="8"/>
  <c r="AV130" i="8"/>
  <c r="AV147" i="8"/>
  <c r="AV56" i="8"/>
  <c r="AV65" i="8"/>
  <c r="AV151" i="8"/>
  <c r="AV23" i="8"/>
  <c r="AV139" i="8"/>
  <c r="AV58" i="8"/>
  <c r="AV112" i="8"/>
  <c r="AV57" i="8"/>
  <c r="AV121" i="8"/>
  <c r="AV150" i="8"/>
  <c r="AV87" i="8"/>
  <c r="AV122" i="8"/>
  <c r="AV46" i="8"/>
  <c r="AV129" i="8"/>
  <c r="AV11" i="8"/>
  <c r="N7" i="5"/>
  <c r="S32" i="6"/>
  <c r="S28" i="6"/>
  <c r="S20" i="6"/>
  <c r="S12" i="6"/>
  <c r="S10" i="6"/>
  <c r="S51" i="6"/>
  <c r="S11" i="6"/>
  <c r="S8" i="6"/>
  <c r="S151" i="6"/>
  <c r="S148" i="6"/>
  <c r="S140" i="6"/>
  <c r="S123" i="6"/>
  <c r="S108" i="6"/>
  <c r="S102" i="6"/>
  <c r="S116" i="6"/>
  <c r="S88" i="6"/>
  <c r="S92" i="6"/>
  <c r="S83" i="6"/>
  <c r="S85" i="6"/>
  <c r="S72" i="6"/>
  <c r="S37" i="6"/>
  <c r="S62" i="6"/>
  <c r="S50" i="6"/>
  <c r="S33" i="6"/>
  <c r="S29" i="6"/>
  <c r="S64" i="6"/>
  <c r="S9" i="6"/>
  <c r="S19" i="6"/>
  <c r="S150" i="6"/>
  <c r="S134" i="6"/>
  <c r="S133" i="6"/>
  <c r="S115" i="6"/>
  <c r="S100" i="6"/>
  <c r="S119" i="6"/>
  <c r="S112" i="6"/>
  <c r="S89" i="6"/>
  <c r="S84" i="6"/>
  <c r="S75" i="6"/>
  <c r="S81" i="6"/>
  <c r="S52" i="6"/>
  <c r="S60" i="6"/>
  <c r="S56" i="6"/>
  <c r="S42" i="6"/>
  <c r="S23" i="6"/>
  <c r="S26" i="6"/>
  <c r="S24" i="6"/>
  <c r="S146" i="6"/>
  <c r="S143" i="6"/>
  <c r="S110" i="6"/>
  <c r="S87" i="6"/>
  <c r="S66" i="6"/>
  <c r="S39" i="6"/>
  <c r="S154" i="6"/>
  <c r="S149" i="6"/>
  <c r="S130" i="6"/>
  <c r="S129" i="6"/>
  <c r="S125" i="6"/>
  <c r="S109" i="6"/>
  <c r="S111" i="6"/>
  <c r="S105" i="6"/>
  <c r="S97" i="6"/>
  <c r="S113" i="6"/>
  <c r="S67" i="6"/>
  <c r="S80" i="6"/>
  <c r="S44" i="6"/>
  <c r="S54" i="6"/>
  <c r="S48" i="6"/>
  <c r="S14" i="6"/>
  <c r="S144" i="6"/>
  <c r="S61" i="6"/>
  <c r="S18" i="6"/>
  <c r="S34" i="6"/>
  <c r="S155" i="6"/>
  <c r="S141" i="6"/>
  <c r="S145" i="6"/>
  <c r="S121" i="6"/>
  <c r="S117" i="6"/>
  <c r="S101" i="6"/>
  <c r="S103" i="6"/>
  <c r="S94" i="6"/>
  <c r="S90" i="6"/>
  <c r="S98" i="6"/>
  <c r="S76" i="6"/>
  <c r="S70" i="6"/>
  <c r="S36" i="6"/>
  <c r="S46" i="6"/>
  <c r="S40" i="6"/>
  <c r="S35" i="6"/>
  <c r="S31" i="6"/>
  <c r="S43" i="6"/>
  <c r="S25" i="6"/>
  <c r="S147" i="6"/>
  <c r="S137" i="6"/>
  <c r="S138" i="6"/>
  <c r="S135" i="6"/>
  <c r="S126" i="6"/>
  <c r="S131" i="6"/>
  <c r="S128" i="6"/>
  <c r="S86" i="6"/>
  <c r="S82" i="6"/>
  <c r="S73" i="6"/>
  <c r="S68" i="6"/>
  <c r="S79" i="6"/>
  <c r="S59" i="6"/>
  <c r="S38" i="6"/>
  <c r="S57" i="6"/>
  <c r="S15" i="6"/>
  <c r="S13" i="6"/>
  <c r="S7" i="6"/>
  <c r="S142" i="6"/>
  <c r="S91" i="6"/>
  <c r="S16" i="6"/>
  <c r="S139" i="6"/>
  <c r="S153" i="6"/>
  <c r="S132" i="6"/>
  <c r="S122" i="6"/>
  <c r="S136" i="6"/>
  <c r="S127" i="6"/>
  <c r="S104" i="6"/>
  <c r="S78" i="6"/>
  <c r="S106" i="6"/>
  <c r="S65" i="6"/>
  <c r="S93" i="6"/>
  <c r="S77" i="6"/>
  <c r="S58" i="6"/>
  <c r="S55" i="6"/>
  <c r="S49" i="6"/>
  <c r="S22" i="6"/>
  <c r="S120" i="6"/>
  <c r="S63" i="6"/>
  <c r="S30" i="6"/>
  <c r="S27" i="6"/>
  <c r="S17" i="6"/>
  <c r="S156" i="6"/>
  <c r="S152" i="6"/>
  <c r="S157" i="6"/>
  <c r="S114" i="6"/>
  <c r="S107" i="6"/>
  <c r="S118" i="6"/>
  <c r="S124" i="6"/>
  <c r="S96" i="6"/>
  <c r="S95" i="6"/>
  <c r="S74" i="6"/>
  <c r="S69" i="6"/>
  <c r="S71" i="6"/>
  <c r="S53" i="6"/>
  <c r="S47" i="6"/>
  <c r="S41" i="6"/>
  <c r="S21" i="6"/>
  <c r="S99" i="6"/>
  <c r="S45" i="6"/>
  <c r="B53" i="5"/>
  <c r="B59" i="5" s="1"/>
  <c r="B163" i="3"/>
  <c r="B164" i="3" s="1"/>
  <c r="AS25" i="5" l="1"/>
  <c r="AS33" i="5"/>
  <c r="AS41" i="5"/>
  <c r="AS49" i="5"/>
  <c r="AS57" i="5"/>
  <c r="AS65" i="5"/>
  <c r="AS26" i="5"/>
  <c r="AS34" i="5"/>
  <c r="AS42" i="5"/>
  <c r="AS50" i="5"/>
  <c r="AS58" i="5"/>
  <c r="AS66" i="5"/>
  <c r="AS27" i="5"/>
  <c r="AS35" i="5"/>
  <c r="AS43" i="5"/>
  <c r="AS51" i="5"/>
  <c r="AS59" i="5"/>
  <c r="AS67" i="5"/>
  <c r="AS75" i="5"/>
  <c r="AS20" i="5"/>
  <c r="AS28" i="5"/>
  <c r="AS36" i="5"/>
  <c r="AS44" i="5"/>
  <c r="AS52" i="5"/>
  <c r="AS60" i="5"/>
  <c r="AS68" i="5"/>
  <c r="AS21" i="5"/>
  <c r="AS29" i="5"/>
  <c r="AS37" i="5"/>
  <c r="AS45" i="5"/>
  <c r="AS53" i="5"/>
  <c r="AS61" i="5"/>
  <c r="AS69" i="5"/>
  <c r="AS22" i="5"/>
  <c r="AS30" i="5"/>
  <c r="AS38" i="5"/>
  <c r="AS46" i="5"/>
  <c r="AS54" i="5"/>
  <c r="AS62" i="5"/>
  <c r="AS70" i="5"/>
  <c r="AS40" i="5"/>
  <c r="AS72" i="5"/>
  <c r="AS81" i="5"/>
  <c r="AS89" i="5"/>
  <c r="AS97" i="5"/>
  <c r="AS105" i="5"/>
  <c r="AS113" i="5"/>
  <c r="AS121" i="5"/>
  <c r="AS129" i="5"/>
  <c r="AS137" i="5"/>
  <c r="AS145" i="5"/>
  <c r="AS153" i="5"/>
  <c r="AS161" i="5"/>
  <c r="AS169" i="5"/>
  <c r="AS177" i="5"/>
  <c r="AS185" i="5"/>
  <c r="AS193" i="5"/>
  <c r="AS201" i="5"/>
  <c r="AS209" i="5"/>
  <c r="AS217" i="5"/>
  <c r="AS225" i="5"/>
  <c r="AS233" i="5"/>
  <c r="AS241" i="5"/>
  <c r="AS249" i="5"/>
  <c r="AS257" i="5"/>
  <c r="AS265" i="5"/>
  <c r="AS273" i="5"/>
  <c r="AS281" i="5"/>
  <c r="AS289" i="5"/>
  <c r="AS297" i="5"/>
  <c r="AS305" i="5"/>
  <c r="AS313" i="5"/>
  <c r="AS321" i="5"/>
  <c r="AS329" i="5"/>
  <c r="AS337" i="5"/>
  <c r="AS345" i="5"/>
  <c r="AS353" i="5"/>
  <c r="AS361" i="5"/>
  <c r="AS369" i="5"/>
  <c r="AS377" i="5"/>
  <c r="AS385" i="5"/>
  <c r="AS393" i="5"/>
  <c r="AS401" i="5"/>
  <c r="AS409" i="5"/>
  <c r="AS417" i="5"/>
  <c r="AS425" i="5"/>
  <c r="AS433" i="5"/>
  <c r="AS441" i="5"/>
  <c r="AS449" i="5"/>
  <c r="AS457" i="5"/>
  <c r="AS465" i="5"/>
  <c r="AS473" i="5"/>
  <c r="AS481" i="5"/>
  <c r="AS489" i="5"/>
  <c r="AS497" i="5"/>
  <c r="AS513" i="5"/>
  <c r="AS553" i="5"/>
  <c r="AS530" i="5"/>
  <c r="AS531" i="5"/>
  <c r="AS47" i="5"/>
  <c r="AS73" i="5"/>
  <c r="AS82" i="5"/>
  <c r="AS90" i="5"/>
  <c r="AS98" i="5"/>
  <c r="AS106" i="5"/>
  <c r="AS114" i="5"/>
  <c r="AS122" i="5"/>
  <c r="AS130" i="5"/>
  <c r="AS138" i="5"/>
  <c r="AS146" i="5"/>
  <c r="AS154" i="5"/>
  <c r="AS162" i="5"/>
  <c r="AS170" i="5"/>
  <c r="AS178" i="5"/>
  <c r="AS186" i="5"/>
  <c r="AS194" i="5"/>
  <c r="AS202" i="5"/>
  <c r="AS210" i="5"/>
  <c r="AS218" i="5"/>
  <c r="AS226" i="5"/>
  <c r="AS234" i="5"/>
  <c r="AS242" i="5"/>
  <c r="AS250" i="5"/>
  <c r="AS258" i="5"/>
  <c r="AS266" i="5"/>
  <c r="AS274" i="5"/>
  <c r="AS282" i="5"/>
  <c r="AS290" i="5"/>
  <c r="AS298" i="5"/>
  <c r="AS306" i="5"/>
  <c r="AS314" i="5"/>
  <c r="AS322" i="5"/>
  <c r="AS330" i="5"/>
  <c r="AS338" i="5"/>
  <c r="AS346" i="5"/>
  <c r="AS354" i="5"/>
  <c r="AS362" i="5"/>
  <c r="AS370" i="5"/>
  <c r="AS378" i="5"/>
  <c r="AS386" i="5"/>
  <c r="AS394" i="5"/>
  <c r="AS402" i="5"/>
  <c r="AS410" i="5"/>
  <c r="AS418" i="5"/>
  <c r="AS426" i="5"/>
  <c r="AS434" i="5"/>
  <c r="AS442" i="5"/>
  <c r="AS450" i="5"/>
  <c r="AS458" i="5"/>
  <c r="AS466" i="5"/>
  <c r="AS474" i="5"/>
  <c r="AS482" i="5"/>
  <c r="AS490" i="5"/>
  <c r="AS498" i="5"/>
  <c r="AS506" i="5"/>
  <c r="AS514" i="5"/>
  <c r="AS546" i="5"/>
  <c r="AS539" i="5"/>
  <c r="AS48" i="5"/>
  <c r="AS74" i="5"/>
  <c r="AS83" i="5"/>
  <c r="AS91" i="5"/>
  <c r="AS99" i="5"/>
  <c r="AS107" i="5"/>
  <c r="AS115" i="5"/>
  <c r="AS123" i="5"/>
  <c r="AS131" i="5"/>
  <c r="AS139" i="5"/>
  <c r="AS147" i="5"/>
  <c r="AS155" i="5"/>
  <c r="AS163" i="5"/>
  <c r="AS171" i="5"/>
  <c r="AS179" i="5"/>
  <c r="AS187" i="5"/>
  <c r="AS195" i="5"/>
  <c r="AS203" i="5"/>
  <c r="AS211" i="5"/>
  <c r="AS219" i="5"/>
  <c r="AS227" i="5"/>
  <c r="AS235" i="5"/>
  <c r="AS243" i="5"/>
  <c r="AS251" i="5"/>
  <c r="AS259" i="5"/>
  <c r="AS267" i="5"/>
  <c r="AS275" i="5"/>
  <c r="AS283" i="5"/>
  <c r="AS291" i="5"/>
  <c r="AS299" i="5"/>
  <c r="AS307" i="5"/>
  <c r="AS315" i="5"/>
  <c r="AS323" i="5"/>
  <c r="AS331" i="5"/>
  <c r="AS339" i="5"/>
  <c r="AS347" i="5"/>
  <c r="AS355" i="5"/>
  <c r="AS363" i="5"/>
  <c r="AS371" i="5"/>
  <c r="AS379" i="5"/>
  <c r="AS387" i="5"/>
  <c r="AS395" i="5"/>
  <c r="AS403" i="5"/>
  <c r="AS411" i="5"/>
  <c r="AS419" i="5"/>
  <c r="AS427" i="5"/>
  <c r="AS435" i="5"/>
  <c r="AS443" i="5"/>
  <c r="AS451" i="5"/>
  <c r="AS459" i="5"/>
  <c r="AS467" i="5"/>
  <c r="AS475" i="5"/>
  <c r="AS483" i="5"/>
  <c r="AS491" i="5"/>
  <c r="AS499" i="5"/>
  <c r="AS507" i="5"/>
  <c r="AS515" i="5"/>
  <c r="AS547" i="5"/>
  <c r="AS23" i="5"/>
  <c r="AS55" i="5"/>
  <c r="AS76" i="5"/>
  <c r="AS84" i="5"/>
  <c r="AS92" i="5"/>
  <c r="AS100" i="5"/>
  <c r="AS108" i="5"/>
  <c r="AS116" i="5"/>
  <c r="AS124" i="5"/>
  <c r="AS132" i="5"/>
  <c r="AS140" i="5"/>
  <c r="AS148" i="5"/>
  <c r="AS156" i="5"/>
  <c r="AS164" i="5"/>
  <c r="AS172" i="5"/>
  <c r="AS180" i="5"/>
  <c r="AS188" i="5"/>
  <c r="AS196" i="5"/>
  <c r="AS204" i="5"/>
  <c r="AS212" i="5"/>
  <c r="AS220" i="5"/>
  <c r="AS228" i="5"/>
  <c r="AS236" i="5"/>
  <c r="AS244" i="5"/>
  <c r="AS252" i="5"/>
  <c r="AS260" i="5"/>
  <c r="AS268" i="5"/>
  <c r="AS276" i="5"/>
  <c r="AS284" i="5"/>
  <c r="AS292" i="5"/>
  <c r="AS300" i="5"/>
  <c r="AS308" i="5"/>
  <c r="AS316" i="5"/>
  <c r="AS324" i="5"/>
  <c r="AS332" i="5"/>
  <c r="AS340" i="5"/>
  <c r="AS348" i="5"/>
  <c r="AS356" i="5"/>
  <c r="AS364" i="5"/>
  <c r="AS372" i="5"/>
  <c r="AS380" i="5"/>
  <c r="AS388" i="5"/>
  <c r="AS396" i="5"/>
  <c r="AS404" i="5"/>
  <c r="AS412" i="5"/>
  <c r="AS420" i="5"/>
  <c r="AS428" i="5"/>
  <c r="AS436" i="5"/>
  <c r="AS444" i="5"/>
  <c r="AS452" i="5"/>
  <c r="AS460" i="5"/>
  <c r="AS468" i="5"/>
  <c r="AS476" i="5"/>
  <c r="AS484" i="5"/>
  <c r="AS492" i="5"/>
  <c r="AS500" i="5"/>
  <c r="AS508" i="5"/>
  <c r="AS516" i="5"/>
  <c r="AS524" i="5"/>
  <c r="AS24" i="5"/>
  <c r="AS56" i="5"/>
  <c r="AS77" i="5"/>
  <c r="AS85" i="5"/>
  <c r="AS93" i="5"/>
  <c r="AS101" i="5"/>
  <c r="AS109" i="5"/>
  <c r="AS117" i="5"/>
  <c r="AS125" i="5"/>
  <c r="AS133" i="5"/>
  <c r="AS141" i="5"/>
  <c r="AS149" i="5"/>
  <c r="AS157" i="5"/>
  <c r="AS165" i="5"/>
  <c r="AS173" i="5"/>
  <c r="AS181" i="5"/>
  <c r="AS189" i="5"/>
  <c r="AS197" i="5"/>
  <c r="AS205" i="5"/>
  <c r="AS213" i="5"/>
  <c r="AS221" i="5"/>
  <c r="AS229" i="5"/>
  <c r="AS237" i="5"/>
  <c r="AS245" i="5"/>
  <c r="AS253" i="5"/>
  <c r="AS261" i="5"/>
  <c r="AS269" i="5"/>
  <c r="AS277" i="5"/>
  <c r="AS285" i="5"/>
  <c r="AS293" i="5"/>
  <c r="AS301" i="5"/>
  <c r="AS309" i="5"/>
  <c r="AS317" i="5"/>
  <c r="AS325" i="5"/>
  <c r="AS333" i="5"/>
  <c r="AS341" i="5"/>
  <c r="AS349" i="5"/>
  <c r="AS357" i="5"/>
  <c r="AS365" i="5"/>
  <c r="AS373" i="5"/>
  <c r="AS381" i="5"/>
  <c r="AS389" i="5"/>
  <c r="AS397" i="5"/>
  <c r="AS405" i="5"/>
  <c r="AS413" i="5"/>
  <c r="AS421" i="5"/>
  <c r="AS429" i="5"/>
  <c r="AS437" i="5"/>
  <c r="AS445" i="5"/>
  <c r="AS453" i="5"/>
  <c r="AS461" i="5"/>
  <c r="AS469" i="5"/>
  <c r="AS477" i="5"/>
  <c r="AS485" i="5"/>
  <c r="AS493" i="5"/>
  <c r="AS501" i="5"/>
  <c r="AS509" i="5"/>
  <c r="AS517" i="5"/>
  <c r="AS525" i="5"/>
  <c r="AS32" i="5"/>
  <c r="AS64" i="5"/>
  <c r="AS79" i="5"/>
  <c r="AS87" i="5"/>
  <c r="AS95" i="5"/>
  <c r="AS103" i="5"/>
  <c r="AS111" i="5"/>
  <c r="AS119" i="5"/>
  <c r="AS127" i="5"/>
  <c r="AS135" i="5"/>
  <c r="AS143" i="5"/>
  <c r="AS151" i="5"/>
  <c r="AS159" i="5"/>
  <c r="AS167" i="5"/>
  <c r="AS175" i="5"/>
  <c r="AS183" i="5"/>
  <c r="AS191" i="5"/>
  <c r="AS199" i="5"/>
  <c r="AS207" i="5"/>
  <c r="AS215" i="5"/>
  <c r="AS223" i="5"/>
  <c r="AS231" i="5"/>
  <c r="AS239" i="5"/>
  <c r="AS247" i="5"/>
  <c r="AS255" i="5"/>
  <c r="AS263" i="5"/>
  <c r="AS271" i="5"/>
  <c r="AS279" i="5"/>
  <c r="AS287" i="5"/>
  <c r="AS295" i="5"/>
  <c r="AS303" i="5"/>
  <c r="AS311" i="5"/>
  <c r="AS319" i="5"/>
  <c r="AS327" i="5"/>
  <c r="AS335" i="5"/>
  <c r="AS343" i="5"/>
  <c r="AS351" i="5"/>
  <c r="AS359" i="5"/>
  <c r="AS367" i="5"/>
  <c r="AS375" i="5"/>
  <c r="AS383" i="5"/>
  <c r="AS391" i="5"/>
  <c r="AS399" i="5"/>
  <c r="AS407" i="5"/>
  <c r="AS415" i="5"/>
  <c r="AS423" i="5"/>
  <c r="AS431" i="5"/>
  <c r="AS439" i="5"/>
  <c r="AS447" i="5"/>
  <c r="AS455" i="5"/>
  <c r="AS463" i="5"/>
  <c r="AS471" i="5"/>
  <c r="AS479" i="5"/>
  <c r="AS487" i="5"/>
  <c r="AS495" i="5"/>
  <c r="AS503" i="5"/>
  <c r="AS511" i="5"/>
  <c r="AS519" i="5"/>
  <c r="AS527" i="5"/>
  <c r="AS535" i="5"/>
  <c r="AS543" i="5"/>
  <c r="AS551" i="5"/>
  <c r="AS559" i="5"/>
  <c r="AS560" i="5"/>
  <c r="AS521" i="5"/>
  <c r="AS545" i="5"/>
  <c r="AS538" i="5"/>
  <c r="AS39" i="5"/>
  <c r="AS71" i="5"/>
  <c r="AS80" i="5"/>
  <c r="AS88" i="5"/>
  <c r="AS96" i="5"/>
  <c r="AS104" i="5"/>
  <c r="AS112" i="5"/>
  <c r="AS120" i="5"/>
  <c r="AS128" i="5"/>
  <c r="AS136" i="5"/>
  <c r="AS144" i="5"/>
  <c r="AS152" i="5"/>
  <c r="AS160" i="5"/>
  <c r="AS168" i="5"/>
  <c r="AS176" i="5"/>
  <c r="AS184" i="5"/>
  <c r="AS192" i="5"/>
  <c r="AS200" i="5"/>
  <c r="AS208" i="5"/>
  <c r="AS216" i="5"/>
  <c r="AS224" i="5"/>
  <c r="AS232" i="5"/>
  <c r="AS240" i="5"/>
  <c r="AS248" i="5"/>
  <c r="AS256" i="5"/>
  <c r="AS264" i="5"/>
  <c r="AS272" i="5"/>
  <c r="AS280" i="5"/>
  <c r="AS288" i="5"/>
  <c r="AS296" i="5"/>
  <c r="AS304" i="5"/>
  <c r="AS312" i="5"/>
  <c r="AS320" i="5"/>
  <c r="AS328" i="5"/>
  <c r="AS336" i="5"/>
  <c r="AS344" i="5"/>
  <c r="AS352" i="5"/>
  <c r="AS360" i="5"/>
  <c r="AS368" i="5"/>
  <c r="AS376" i="5"/>
  <c r="AS384" i="5"/>
  <c r="AS392" i="5"/>
  <c r="AS400" i="5"/>
  <c r="AS408" i="5"/>
  <c r="AS416" i="5"/>
  <c r="AS424" i="5"/>
  <c r="AS432" i="5"/>
  <c r="AS440" i="5"/>
  <c r="AS448" i="5"/>
  <c r="AS456" i="5"/>
  <c r="AS464" i="5"/>
  <c r="AS472" i="5"/>
  <c r="AS480" i="5"/>
  <c r="AS488" i="5"/>
  <c r="AS496" i="5"/>
  <c r="AS504" i="5"/>
  <c r="AS512" i="5"/>
  <c r="AS520" i="5"/>
  <c r="AS528" i="5"/>
  <c r="AS536" i="5"/>
  <c r="AS544" i="5"/>
  <c r="AS552" i="5"/>
  <c r="AS505" i="5"/>
  <c r="AS529" i="5"/>
  <c r="AS537" i="5"/>
  <c r="AS522" i="5"/>
  <c r="AS554" i="5"/>
  <c r="AS523" i="5"/>
  <c r="AS102" i="5"/>
  <c r="AS166" i="5"/>
  <c r="AS230" i="5"/>
  <c r="AS294" i="5"/>
  <c r="AS358" i="5"/>
  <c r="AS422" i="5"/>
  <c r="AS486" i="5"/>
  <c r="AS534" i="5"/>
  <c r="AS556" i="5"/>
  <c r="AS374" i="5"/>
  <c r="AS541" i="5"/>
  <c r="AS446" i="5"/>
  <c r="AS548" i="5"/>
  <c r="AS142" i="5"/>
  <c r="AS398" i="5"/>
  <c r="AS550" i="5"/>
  <c r="AS110" i="5"/>
  <c r="AS174" i="5"/>
  <c r="AS238" i="5"/>
  <c r="AS302" i="5"/>
  <c r="AS366" i="5"/>
  <c r="AS430" i="5"/>
  <c r="AS494" i="5"/>
  <c r="AS540" i="5"/>
  <c r="AS557" i="5"/>
  <c r="AS8" i="5"/>
  <c r="AS502" i="5"/>
  <c r="AS558" i="5"/>
  <c r="AS510" i="5"/>
  <c r="AS78" i="5"/>
  <c r="AS462" i="5"/>
  <c r="AS555" i="5"/>
  <c r="AS118" i="5"/>
  <c r="AS182" i="5"/>
  <c r="AS246" i="5"/>
  <c r="AS310" i="5"/>
  <c r="AS438" i="5"/>
  <c r="AS518" i="5"/>
  <c r="AS270" i="5"/>
  <c r="AS549" i="5"/>
  <c r="AS31" i="5"/>
  <c r="AS126" i="5"/>
  <c r="AS190" i="5"/>
  <c r="AS254" i="5"/>
  <c r="AS318" i="5"/>
  <c r="AS382" i="5"/>
  <c r="AS542" i="5"/>
  <c r="AS206" i="5"/>
  <c r="AS19" i="5"/>
  <c r="AS63" i="5"/>
  <c r="AS134" i="5"/>
  <c r="AS198" i="5"/>
  <c r="AS262" i="5"/>
  <c r="AS326" i="5"/>
  <c r="AS390" i="5"/>
  <c r="AS454" i="5"/>
  <c r="AS334" i="5"/>
  <c r="AS526" i="5"/>
  <c r="AS533" i="5"/>
  <c r="AS86" i="5"/>
  <c r="AS150" i="5"/>
  <c r="AS214" i="5"/>
  <c r="AS278" i="5"/>
  <c r="AS342" i="5"/>
  <c r="AS406" i="5"/>
  <c r="AS470" i="5"/>
  <c r="AS532" i="5"/>
  <c r="AS7" i="5"/>
  <c r="AS94" i="5"/>
  <c r="AS158" i="5"/>
  <c r="AS222" i="5"/>
  <c r="AS286" i="5"/>
  <c r="AS350" i="5"/>
  <c r="AS414" i="5"/>
  <c r="AS478" i="5"/>
  <c r="AV99" i="6"/>
  <c r="AV68" i="6"/>
  <c r="AV24" i="6"/>
  <c r="AV102" i="6"/>
  <c r="AV96" i="6"/>
  <c r="AV17" i="6"/>
  <c r="AV58" i="6"/>
  <c r="AV136" i="6"/>
  <c r="AV7" i="6"/>
  <c r="AV73" i="6"/>
  <c r="AV137" i="6"/>
  <c r="AV36" i="6"/>
  <c r="AV117" i="6"/>
  <c r="AV144" i="6"/>
  <c r="AV97" i="6"/>
  <c r="AV154" i="6"/>
  <c r="AV26" i="6"/>
  <c r="AV84" i="6"/>
  <c r="AV150" i="6"/>
  <c r="AV37" i="6"/>
  <c r="AV108" i="6"/>
  <c r="AV10" i="6"/>
  <c r="AV156" i="6"/>
  <c r="AV138" i="6"/>
  <c r="AV62" i="6"/>
  <c r="AV27" i="6"/>
  <c r="AV77" i="6"/>
  <c r="AV122" i="6"/>
  <c r="AV13" i="6"/>
  <c r="AV82" i="6"/>
  <c r="AV147" i="6"/>
  <c r="AV70" i="6"/>
  <c r="AV121" i="6"/>
  <c r="AV14" i="6"/>
  <c r="AV105" i="6"/>
  <c r="AV39" i="6"/>
  <c r="AV23" i="6"/>
  <c r="AV89" i="6"/>
  <c r="AV19" i="6"/>
  <c r="AV72" i="6"/>
  <c r="AV123" i="6"/>
  <c r="AV12" i="6"/>
  <c r="AV95" i="6"/>
  <c r="AV142" i="6"/>
  <c r="AV149" i="6"/>
  <c r="AV134" i="6"/>
  <c r="AV47" i="6"/>
  <c r="AV93" i="6"/>
  <c r="AV86" i="6"/>
  <c r="AV76" i="6"/>
  <c r="AV48" i="6"/>
  <c r="AV111" i="6"/>
  <c r="AV66" i="6"/>
  <c r="AV42" i="6"/>
  <c r="AV112" i="6"/>
  <c r="AV9" i="6"/>
  <c r="AV85" i="6"/>
  <c r="AV140" i="6"/>
  <c r="AV20" i="6"/>
  <c r="AV127" i="6"/>
  <c r="AV113" i="6"/>
  <c r="AV51" i="6"/>
  <c r="AV21" i="6"/>
  <c r="AV41" i="6"/>
  <c r="AV124" i="6"/>
  <c r="AV118" i="6"/>
  <c r="AV30" i="6"/>
  <c r="AV132" i="6"/>
  <c r="AV15" i="6"/>
  <c r="AV25" i="6"/>
  <c r="AV145" i="6"/>
  <c r="AV53" i="6"/>
  <c r="AV107" i="6"/>
  <c r="AV63" i="6"/>
  <c r="AV65" i="6"/>
  <c r="AV153" i="6"/>
  <c r="AV57" i="6"/>
  <c r="AV128" i="6"/>
  <c r="AV43" i="6"/>
  <c r="AV98" i="6"/>
  <c r="AV141" i="6"/>
  <c r="AV54" i="6"/>
  <c r="AV109" i="6"/>
  <c r="AV87" i="6"/>
  <c r="AV56" i="6"/>
  <c r="AV119" i="6"/>
  <c r="AV64" i="6"/>
  <c r="AV83" i="6"/>
  <c r="AV148" i="6"/>
  <c r="AV28" i="6"/>
  <c r="AV61" i="6"/>
  <c r="AV71" i="6"/>
  <c r="AV114" i="6"/>
  <c r="AV120" i="6"/>
  <c r="AV106" i="6"/>
  <c r="AV139" i="6"/>
  <c r="AV38" i="6"/>
  <c r="AV131" i="6"/>
  <c r="AV31" i="6"/>
  <c r="AV90" i="6"/>
  <c r="AV155" i="6"/>
  <c r="AV44" i="6"/>
  <c r="AV125" i="6"/>
  <c r="AV110" i="6"/>
  <c r="AV60" i="6"/>
  <c r="AV100" i="6"/>
  <c r="AV29" i="6"/>
  <c r="AV92" i="6"/>
  <c r="AV151" i="6"/>
  <c r="AV32" i="6"/>
  <c r="AV101" i="6"/>
  <c r="AV69" i="6"/>
  <c r="AV157" i="6"/>
  <c r="AV22" i="6"/>
  <c r="AV78" i="6"/>
  <c r="AV16" i="6"/>
  <c r="AV59" i="6"/>
  <c r="AV126" i="6"/>
  <c r="AV35" i="6"/>
  <c r="AV94" i="6"/>
  <c r="AV34" i="6"/>
  <c r="AV80" i="6"/>
  <c r="AV129" i="6"/>
  <c r="AV143" i="6"/>
  <c r="AV52" i="6"/>
  <c r="AV115" i="6"/>
  <c r="AV33" i="6"/>
  <c r="AV88" i="6"/>
  <c r="AV8" i="6"/>
  <c r="AV55" i="6"/>
  <c r="AV46" i="6"/>
  <c r="AV75" i="6"/>
  <c r="AV45" i="6"/>
  <c r="AV74" i="6"/>
  <c r="AV152" i="6"/>
  <c r="AV49" i="6"/>
  <c r="AV104" i="6"/>
  <c r="AV91" i="6"/>
  <c r="AV79" i="6"/>
  <c r="AV135" i="6"/>
  <c r="AV40" i="6"/>
  <c r="AV103" i="6"/>
  <c r="AV18" i="6"/>
  <c r="AV67" i="6"/>
  <c r="AV130" i="6"/>
  <c r="AV146" i="6"/>
  <c r="AV81" i="6"/>
  <c r="AV133" i="6"/>
  <c r="AV50" i="6"/>
  <c r="AV116" i="6"/>
  <c r="AV11" i="6"/>
  <c r="AR19" i="5"/>
  <c r="AR550" i="5"/>
  <c r="AR548" i="5"/>
  <c r="AR540" i="5"/>
  <c r="AR529" i="5"/>
  <c r="AR520" i="5"/>
  <c r="AR513" i="5"/>
  <c r="AR511" i="5"/>
  <c r="AR510" i="5"/>
  <c r="AR504" i="5"/>
  <c r="AR501" i="5"/>
  <c r="AR484" i="5"/>
  <c r="AR483" i="5"/>
  <c r="AR473" i="5"/>
  <c r="AR459" i="5"/>
  <c r="AR448" i="5"/>
  <c r="AR441" i="5"/>
  <c r="AR440" i="5"/>
  <c r="AR430" i="5"/>
  <c r="AR425" i="5"/>
  <c r="AR423" i="5"/>
  <c r="AR422" i="5"/>
  <c r="AR409" i="5"/>
  <c r="AR407" i="5"/>
  <c r="AR375" i="5"/>
  <c r="AR361" i="5"/>
  <c r="AR357" i="5"/>
  <c r="AR356" i="5"/>
  <c r="AR353" i="5"/>
  <c r="AR346" i="5"/>
  <c r="AR321" i="5"/>
  <c r="AR319" i="5"/>
  <c r="AR301" i="5"/>
  <c r="AR299" i="5"/>
  <c r="AR297" i="5"/>
  <c r="AR295" i="5"/>
  <c r="AR290" i="5"/>
  <c r="AR265" i="5"/>
  <c r="AR262" i="5"/>
  <c r="AR249" i="5"/>
  <c r="AR246" i="5"/>
  <c r="AR245" i="5"/>
  <c r="AR240" i="5"/>
  <c r="AR229" i="5"/>
  <c r="AR213" i="5"/>
  <c r="AR178" i="5"/>
  <c r="AR175" i="5"/>
  <c r="AR170" i="5"/>
  <c r="AR157" i="5"/>
  <c r="AR155" i="5"/>
  <c r="AR149" i="5"/>
  <c r="AR140" i="5"/>
  <c r="AR136" i="5"/>
  <c r="AR128" i="5"/>
  <c r="AR118" i="5"/>
  <c r="AR114" i="5"/>
  <c r="AR113" i="5"/>
  <c r="AR109" i="5"/>
  <c r="AR104" i="5"/>
  <c r="AR100" i="5"/>
  <c r="AR87" i="5"/>
  <c r="AR85" i="5"/>
  <c r="AR67" i="5"/>
  <c r="AR64" i="5"/>
  <c r="AR54" i="5"/>
  <c r="AR49" i="5"/>
  <c r="AR44" i="5"/>
  <c r="AR42" i="5"/>
  <c r="AR36" i="5"/>
  <c r="AR34" i="5"/>
  <c r="AR27" i="5"/>
  <c r="AR25" i="5"/>
  <c r="AR26" i="5"/>
  <c r="AR22" i="5"/>
  <c r="AR534" i="5"/>
  <c r="AR532" i="5"/>
  <c r="AR530" i="5"/>
  <c r="AR525" i="5"/>
  <c r="AR515" i="5"/>
  <c r="AR514" i="5"/>
  <c r="AR490" i="5"/>
  <c r="AR481" i="5"/>
  <c r="AR476" i="5"/>
  <c r="AR472" i="5"/>
  <c r="AR467" i="5"/>
  <c r="AR466" i="5"/>
  <c r="AR462" i="5"/>
  <c r="AR456" i="5"/>
  <c r="AR451" i="5"/>
  <c r="AR449" i="5"/>
  <c r="AR447" i="5"/>
  <c r="AR445" i="5"/>
  <c r="AR438" i="5"/>
  <c r="AR435" i="5"/>
  <c r="AR420" i="5"/>
  <c r="AR418" i="5"/>
  <c r="AR412" i="5"/>
  <c r="AR410" i="5"/>
  <c r="AR392" i="5"/>
  <c r="AR387" i="5"/>
  <c r="AR381" i="5"/>
  <c r="AR377" i="5"/>
  <c r="AR369" i="5"/>
  <c r="AR351" i="5"/>
  <c r="AR342" i="5"/>
  <c r="AR338" i="5"/>
  <c r="AR323" i="5"/>
  <c r="AR313" i="5"/>
  <c r="AR307" i="5"/>
  <c r="AR285" i="5"/>
  <c r="AR275" i="5"/>
  <c r="AR259" i="5"/>
  <c r="AR258" i="5"/>
  <c r="AR255" i="5"/>
  <c r="AR254" i="5"/>
  <c r="AR252" i="5"/>
  <c r="AR234" i="5"/>
  <c r="AR226" i="5"/>
  <c r="AR223" i="5"/>
  <c r="AR222" i="5"/>
  <c r="AR207" i="5"/>
  <c r="AR206" i="5"/>
  <c r="AR202" i="5"/>
  <c r="AR198" i="5"/>
  <c r="AR196" i="5"/>
  <c r="AR187" i="5"/>
  <c r="AR184" i="5"/>
  <c r="AR172" i="5"/>
  <c r="AR171" i="5"/>
  <c r="AR158" i="5"/>
  <c r="AR148" i="5"/>
  <c r="AR144" i="5"/>
  <c r="AR122" i="5"/>
  <c r="AR112" i="5"/>
  <c r="AR108" i="5"/>
  <c r="AR107" i="5"/>
  <c r="AR93" i="5"/>
  <c r="AR92" i="5"/>
  <c r="AR82" i="5"/>
  <c r="AR79" i="5"/>
  <c r="AR76" i="5"/>
  <c r="AR72" i="5"/>
  <c r="AR71" i="5"/>
  <c r="AR70" i="5"/>
  <c r="AR61" i="5"/>
  <c r="AR48" i="5"/>
  <c r="AR558" i="5"/>
  <c r="AR535" i="5"/>
  <c r="AR491" i="5"/>
  <c r="AR546" i="5"/>
  <c r="AR522" i="5"/>
  <c r="AR517" i="5"/>
  <c r="AR516" i="5"/>
  <c r="AR512" i="5"/>
  <c r="AR503" i="5"/>
  <c r="AR485" i="5"/>
  <c r="AR457" i="5"/>
  <c r="AR437" i="5"/>
  <c r="AR411" i="5"/>
  <c r="AR395" i="5"/>
  <c r="AR393" i="5"/>
  <c r="AR388" i="5"/>
  <c r="AR386" i="5"/>
  <c r="AR379" i="5"/>
  <c r="AR370" i="5"/>
  <c r="AR368" i="5"/>
  <c r="AR362" i="5"/>
  <c r="AR360" i="5"/>
  <c r="AR359" i="5"/>
  <c r="AR358" i="5"/>
  <c r="AR339" i="5"/>
  <c r="AR333" i="5"/>
  <c r="AR314" i="5"/>
  <c r="AR305" i="5"/>
  <c r="AR288" i="5"/>
  <c r="AR287" i="5"/>
  <c r="AR286" i="5"/>
  <c r="AR272" i="5"/>
  <c r="AR271" i="5"/>
  <c r="AR270" i="5"/>
  <c r="AR269" i="5"/>
  <c r="AR233" i="5"/>
  <c r="AR218" i="5"/>
  <c r="AR199" i="5"/>
  <c r="AR195" i="5"/>
  <c r="AR188" i="5"/>
  <c r="AR182" i="5"/>
  <c r="AR179" i="5"/>
  <c r="AR167" i="5"/>
  <c r="AR163" i="5"/>
  <c r="AR146" i="5"/>
  <c r="AR142" i="5"/>
  <c r="AR141" i="5"/>
  <c r="AR129" i="5"/>
  <c r="AR102" i="5"/>
  <c r="AR98" i="5"/>
  <c r="AR84" i="5"/>
  <c r="AR68" i="5"/>
  <c r="AR51" i="5"/>
  <c r="AR45" i="5"/>
  <c r="AR39" i="5"/>
  <c r="AR37" i="5"/>
  <c r="AR33" i="5"/>
  <c r="AR28" i="5"/>
  <c r="AR24" i="5"/>
  <c r="AR523" i="5"/>
  <c r="AR552" i="5"/>
  <c r="AR539" i="5"/>
  <c r="AR528" i="5"/>
  <c r="AR521" i="5"/>
  <c r="AR497" i="5"/>
  <c r="AR494" i="5"/>
  <c r="AR478" i="5"/>
  <c r="AR468" i="5"/>
  <c r="AR461" i="5"/>
  <c r="AR434" i="5"/>
  <c r="AR424" i="5"/>
  <c r="AR415" i="5"/>
  <c r="AR414" i="5"/>
  <c r="AR413" i="5"/>
  <c r="AR405" i="5"/>
  <c r="AR401" i="5"/>
  <c r="AR398" i="5"/>
  <c r="AR363" i="5"/>
  <c r="AR355" i="5"/>
  <c r="AR350" i="5"/>
  <c r="AR344" i="5"/>
  <c r="AR336" i="5"/>
  <c r="AR312" i="5"/>
  <c r="AR298" i="5"/>
  <c r="AR294" i="5"/>
  <c r="AR281" i="5"/>
  <c r="AR280" i="5"/>
  <c r="AR278" i="5"/>
  <c r="AR276" i="5"/>
  <c r="AR267" i="5"/>
  <c r="AR261" i="5"/>
  <c r="AR253" i="5"/>
  <c r="AR250" i="5"/>
  <c r="AR224" i="5"/>
  <c r="AR216" i="5"/>
  <c r="AR212" i="5"/>
  <c r="AR204" i="5"/>
  <c r="AR191" i="5"/>
  <c r="AR185" i="5"/>
  <c r="AR174" i="5"/>
  <c r="AR173" i="5"/>
  <c r="AR153" i="5"/>
  <c r="AR139" i="5"/>
  <c r="AR125" i="5"/>
  <c r="AR117" i="5"/>
  <c r="AR105" i="5"/>
  <c r="AR90" i="5"/>
  <c r="AR77" i="5"/>
  <c r="AR74" i="5"/>
  <c r="AR66" i="5"/>
  <c r="AR63" i="5"/>
  <c r="AR57" i="5"/>
  <c r="AR40" i="5"/>
  <c r="AR31" i="5"/>
  <c r="AR29" i="5"/>
  <c r="AR509" i="5"/>
  <c r="AR557" i="5"/>
  <c r="AR556" i="5"/>
  <c r="AR554" i="5"/>
  <c r="AR553" i="5"/>
  <c r="AR551" i="5"/>
  <c r="AR545" i="5"/>
  <c r="AR544" i="5"/>
  <c r="AR543" i="5"/>
  <c r="AR527" i="5"/>
  <c r="AR519" i="5"/>
  <c r="AR502" i="5"/>
  <c r="AR486" i="5"/>
  <c r="AR477" i="5"/>
  <c r="AR474" i="5"/>
  <c r="AR469" i="5"/>
  <c r="AR465" i="5"/>
  <c r="AR460" i="5"/>
  <c r="AR443" i="5"/>
  <c r="AR439" i="5"/>
  <c r="AR436" i="5"/>
  <c r="AR428" i="5"/>
  <c r="AR417" i="5"/>
  <c r="AR404" i="5"/>
  <c r="AR399" i="5"/>
  <c r="AR373" i="5"/>
  <c r="AR367" i="5"/>
  <c r="AR349" i="5"/>
  <c r="AR347" i="5"/>
  <c r="AR343" i="5"/>
  <c r="AR341" i="5"/>
  <c r="AR335" i="5"/>
  <c r="AR327" i="5"/>
  <c r="AR326" i="5"/>
  <c r="AR322" i="5"/>
  <c r="AR318" i="5"/>
  <c r="AR310" i="5"/>
  <c r="AR303" i="5"/>
  <c r="AR296" i="5"/>
  <c r="AR284" i="5"/>
  <c r="AR282" i="5"/>
  <c r="AR277" i="5"/>
  <c r="AR251" i="5"/>
  <c r="AR244" i="5"/>
  <c r="AR243" i="5"/>
  <c r="AR239" i="5"/>
  <c r="AR236" i="5"/>
  <c r="AR225" i="5"/>
  <c r="AR211" i="5"/>
  <c r="AR201" i="5"/>
  <c r="AR194" i="5"/>
  <c r="AR193" i="5"/>
  <c r="AR192" i="5"/>
  <c r="AR190" i="5"/>
  <c r="AR189" i="5"/>
  <c r="AR186" i="5"/>
  <c r="AR180" i="5"/>
  <c r="AR176" i="5"/>
  <c r="AR168" i="5"/>
  <c r="AR164" i="5"/>
  <c r="AR160" i="5"/>
  <c r="AR159" i="5"/>
  <c r="AR156" i="5"/>
  <c r="AR143" i="5"/>
  <c r="AR137" i="5"/>
  <c r="AR126" i="5"/>
  <c r="AR123" i="5"/>
  <c r="AR116" i="5"/>
  <c r="AR115" i="5"/>
  <c r="AR97" i="5"/>
  <c r="AR96" i="5"/>
  <c r="AR94" i="5"/>
  <c r="AR86" i="5"/>
  <c r="AR83" i="5"/>
  <c r="AR81" i="5"/>
  <c r="AR80" i="5"/>
  <c r="AR62" i="5"/>
  <c r="AR56" i="5"/>
  <c r="AR52" i="5"/>
  <c r="AR50" i="5"/>
  <c r="AR47" i="5"/>
  <c r="AR41" i="5"/>
  <c r="AR20" i="5"/>
  <c r="AR547" i="5"/>
  <c r="AR498" i="5"/>
  <c r="AR542" i="5"/>
  <c r="AR541" i="5"/>
  <c r="AR536" i="5"/>
  <c r="AR526" i="5"/>
  <c r="AR524" i="5"/>
  <c r="AR518" i="5"/>
  <c r="AR508" i="5"/>
  <c r="AR479" i="5"/>
  <c r="AR475" i="5"/>
  <c r="AR463" i="5"/>
  <c r="AR458" i="5"/>
  <c r="AR452" i="5"/>
  <c r="AR444" i="5"/>
  <c r="AR442" i="5"/>
  <c r="AR431" i="5"/>
  <c r="AR429" i="5"/>
  <c r="AR419" i="5"/>
  <c r="AR397" i="5"/>
  <c r="AR391" i="5"/>
  <c r="AR390" i="5"/>
  <c r="AR389" i="5"/>
  <c r="AR374" i="5"/>
  <c r="AR371" i="5"/>
  <c r="AR352" i="5"/>
  <c r="AR329" i="5"/>
  <c r="AR325" i="5"/>
  <c r="AR320" i="5"/>
  <c r="AR317" i="5"/>
  <c r="AR316" i="5"/>
  <c r="AR311" i="5"/>
  <c r="AR309" i="5"/>
  <c r="AR308" i="5"/>
  <c r="AR292" i="5"/>
  <c r="AR268" i="5"/>
  <c r="AR263" i="5"/>
  <c r="AR260" i="5"/>
  <c r="AR256" i="5"/>
  <c r="AR241" i="5"/>
  <c r="AR237" i="5"/>
  <c r="AR235" i="5"/>
  <c r="AR232" i="5"/>
  <c r="AR227" i="5"/>
  <c r="AR220" i="5"/>
  <c r="AR219" i="5"/>
  <c r="AR214" i="5"/>
  <c r="AR210" i="5"/>
  <c r="AR205" i="5"/>
  <c r="AR183" i="5"/>
  <c r="AR181" i="5"/>
  <c r="AR154" i="5"/>
  <c r="AR152" i="5"/>
  <c r="AR145" i="5"/>
  <c r="AR131" i="5"/>
  <c r="AR124" i="5"/>
  <c r="AR119" i="5"/>
  <c r="AR91" i="5"/>
  <c r="AR89" i="5"/>
  <c r="AR59" i="5"/>
  <c r="AR53" i="5"/>
  <c r="AR46" i="5"/>
  <c r="AR38" i="5"/>
  <c r="AR489" i="5"/>
  <c r="AR560" i="5"/>
  <c r="AR555" i="5"/>
  <c r="AR549" i="5"/>
  <c r="AR538" i="5"/>
  <c r="AR537" i="5"/>
  <c r="AR533" i="5"/>
  <c r="AR531" i="5"/>
  <c r="AR507" i="5"/>
  <c r="AR505" i="5"/>
  <c r="AR500" i="5"/>
  <c r="AR499" i="5"/>
  <c r="AR496" i="5"/>
  <c r="AR493" i="5"/>
  <c r="AR492" i="5"/>
  <c r="AR488" i="5"/>
  <c r="AR487" i="5"/>
  <c r="AR482" i="5"/>
  <c r="AR455" i="5"/>
  <c r="AR453" i="5"/>
  <c r="AR450" i="5"/>
  <c r="AR446" i="5"/>
  <c r="AR433" i="5"/>
  <c r="AR427" i="5"/>
  <c r="AR421" i="5"/>
  <c r="AR408" i="5"/>
  <c r="AR402" i="5"/>
  <c r="AR383" i="5"/>
  <c r="AR382" i="5"/>
  <c r="AR380" i="5"/>
  <c r="AR365" i="5"/>
  <c r="AR354" i="5"/>
  <c r="AR348" i="5"/>
  <c r="AR345" i="5"/>
  <c r="AR340" i="5"/>
  <c r="AR337" i="5"/>
  <c r="AR331" i="5"/>
  <c r="AR315" i="5"/>
  <c r="AR304" i="5"/>
  <c r="AR302" i="5"/>
  <c r="AR289" i="5"/>
  <c r="AR273" i="5"/>
  <c r="AR257" i="5"/>
  <c r="AR248" i="5"/>
  <c r="AR247" i="5"/>
  <c r="AR231" i="5"/>
  <c r="AR215" i="5"/>
  <c r="AR209" i="5"/>
  <c r="AR177" i="5"/>
  <c r="AR169" i="5"/>
  <c r="AR165" i="5"/>
  <c r="AR161" i="5"/>
  <c r="AR151" i="5"/>
  <c r="AR150" i="5"/>
  <c r="AR147" i="5"/>
  <c r="AR133" i="5"/>
  <c r="AR127" i="5"/>
  <c r="AR121" i="5"/>
  <c r="AR120" i="5"/>
  <c r="AR110" i="5"/>
  <c r="AR106" i="5"/>
  <c r="AR101" i="5"/>
  <c r="AR88" i="5"/>
  <c r="AR78" i="5"/>
  <c r="AR75" i="5"/>
  <c r="AR73" i="5"/>
  <c r="AR69" i="5"/>
  <c r="AR43" i="5"/>
  <c r="AR35" i="5"/>
  <c r="AR32" i="5"/>
  <c r="AR30" i="5"/>
  <c r="AR21" i="5"/>
  <c r="AR506" i="5"/>
  <c r="AR495" i="5"/>
  <c r="AR454" i="5"/>
  <c r="AR400" i="5"/>
  <c r="AR334" i="5"/>
  <c r="AR266" i="5"/>
  <c r="AR230" i="5"/>
  <c r="AR200" i="5"/>
  <c r="AR166" i="5"/>
  <c r="AR111" i="5"/>
  <c r="AR23" i="5"/>
  <c r="AR464" i="5"/>
  <c r="AR306" i="5"/>
  <c r="AR221" i="5"/>
  <c r="AR103" i="5"/>
  <c r="AR58" i="5"/>
  <c r="AR432" i="5"/>
  <c r="AR238" i="5"/>
  <c r="AR403" i="5"/>
  <c r="AR324" i="5"/>
  <c r="AR242" i="5"/>
  <c r="AR203" i="5"/>
  <c r="AR130" i="5"/>
  <c r="AR60" i="5"/>
  <c r="AR372" i="5"/>
  <c r="AR279" i="5"/>
  <c r="AR132" i="5"/>
  <c r="AR95" i="5"/>
  <c r="AR332" i="5"/>
  <c r="AR406" i="5"/>
  <c r="AR394" i="5"/>
  <c r="AR385" i="5"/>
  <c r="AR384" i="5"/>
  <c r="AR300" i="5"/>
  <c r="AR135" i="5"/>
  <c r="AR134" i="5"/>
  <c r="AR480" i="5"/>
  <c r="AR471" i="5"/>
  <c r="AR470" i="5"/>
  <c r="AR426" i="5"/>
  <c r="AR376" i="5"/>
  <c r="AR366" i="5"/>
  <c r="AR330" i="5"/>
  <c r="AR293" i="5"/>
  <c r="AR283" i="5"/>
  <c r="AR208" i="5"/>
  <c r="AR197" i="5"/>
  <c r="AR138" i="5"/>
  <c r="AR99" i="5"/>
  <c r="AR65" i="5"/>
  <c r="AR378" i="5"/>
  <c r="AR274" i="5"/>
  <c r="AR264" i="5"/>
  <c r="AR228" i="5"/>
  <c r="AR55" i="5"/>
  <c r="AR416" i="5"/>
  <c r="AR396" i="5"/>
  <c r="AR364" i="5"/>
  <c r="AR328" i="5"/>
  <c r="AR291" i="5"/>
  <c r="AR162" i="5"/>
  <c r="AR217" i="5"/>
  <c r="AR559" i="5"/>
  <c r="B57" i="5"/>
  <c r="B56" i="5"/>
  <c r="B60" i="5"/>
  <c r="B6" i="3"/>
  <c r="AY23" i="5" l="1"/>
  <c r="BB23" i="5" s="1"/>
  <c r="AY31" i="5"/>
  <c r="BB31" i="5" s="1"/>
  <c r="AY39" i="5"/>
  <c r="AY47" i="5"/>
  <c r="BB47" i="5" s="1"/>
  <c r="AY55" i="5"/>
  <c r="BB55" i="5" s="1"/>
  <c r="AY63" i="5"/>
  <c r="AY71" i="5"/>
  <c r="AY79" i="5"/>
  <c r="AY87" i="5"/>
  <c r="BB87" i="5" s="1"/>
  <c r="AY95" i="5"/>
  <c r="BB95" i="5" s="1"/>
  <c r="AY24" i="5"/>
  <c r="BB24" i="5" s="1"/>
  <c r="AY32" i="5"/>
  <c r="BB32" i="5" s="1"/>
  <c r="AY40" i="5"/>
  <c r="BB40" i="5" s="1"/>
  <c r="AY48" i="5"/>
  <c r="BB48" i="5" s="1"/>
  <c r="AY56" i="5"/>
  <c r="BB56" i="5" s="1"/>
  <c r="AY64" i="5"/>
  <c r="BB64" i="5" s="1"/>
  <c r="AY72" i="5"/>
  <c r="BB72" i="5" s="1"/>
  <c r="AY80" i="5"/>
  <c r="BB80" i="5" s="1"/>
  <c r="AY88" i="5"/>
  <c r="BB88" i="5" s="1"/>
  <c r="AY96" i="5"/>
  <c r="BB96" i="5" s="1"/>
  <c r="AY104" i="5"/>
  <c r="BB104" i="5" s="1"/>
  <c r="AY112" i="5"/>
  <c r="BB112" i="5" s="1"/>
  <c r="AY120" i="5"/>
  <c r="BB120" i="5" s="1"/>
  <c r="AY128" i="5"/>
  <c r="BB128" i="5" s="1"/>
  <c r="AY136" i="5"/>
  <c r="BB136" i="5" s="1"/>
  <c r="AY144" i="5"/>
  <c r="BB144" i="5" s="1"/>
  <c r="AY152" i="5"/>
  <c r="BB152" i="5" s="1"/>
  <c r="AY25" i="5"/>
  <c r="AY33" i="5"/>
  <c r="BB33" i="5" s="1"/>
  <c r="AY41" i="5"/>
  <c r="AY49" i="5"/>
  <c r="BB49" i="5" s="1"/>
  <c r="AY57" i="5"/>
  <c r="BB57" i="5" s="1"/>
  <c r="AY65" i="5"/>
  <c r="BB65" i="5" s="1"/>
  <c r="AY73" i="5"/>
  <c r="BB73" i="5" s="1"/>
  <c r="AY81" i="5"/>
  <c r="AY89" i="5"/>
  <c r="BB89" i="5" s="1"/>
  <c r="AY97" i="5"/>
  <c r="BB97" i="5" s="1"/>
  <c r="AY105" i="5"/>
  <c r="BB105" i="5" s="1"/>
  <c r="AY113" i="5"/>
  <c r="AY121" i="5"/>
  <c r="AY129" i="5"/>
  <c r="BB129" i="5" s="1"/>
  <c r="AY137" i="5"/>
  <c r="BB137" i="5" s="1"/>
  <c r="AY145" i="5"/>
  <c r="BB145" i="5" s="1"/>
  <c r="AY153" i="5"/>
  <c r="AY26" i="5"/>
  <c r="AY34" i="5"/>
  <c r="BB34" i="5" s="1"/>
  <c r="AY42" i="5"/>
  <c r="BB42" i="5" s="1"/>
  <c r="AY50" i="5"/>
  <c r="BB50" i="5" s="1"/>
  <c r="AY58" i="5"/>
  <c r="BB58" i="5" s="1"/>
  <c r="AY66" i="5"/>
  <c r="BB66" i="5" s="1"/>
  <c r="AY74" i="5"/>
  <c r="AY82" i="5"/>
  <c r="BB82" i="5" s="1"/>
  <c r="AY90" i="5"/>
  <c r="BB90" i="5" s="1"/>
  <c r="AY98" i="5"/>
  <c r="BB98" i="5" s="1"/>
  <c r="AY106" i="5"/>
  <c r="BB106" i="5" s="1"/>
  <c r="AY114" i="5"/>
  <c r="AY122" i="5"/>
  <c r="BB122" i="5" s="1"/>
  <c r="AY130" i="5"/>
  <c r="BB130" i="5" s="1"/>
  <c r="AY138" i="5"/>
  <c r="AY146" i="5"/>
  <c r="BB146" i="5" s="1"/>
  <c r="AY154" i="5"/>
  <c r="BB154" i="5" s="1"/>
  <c r="AY27" i="5"/>
  <c r="AY35" i="5"/>
  <c r="BB35" i="5" s="1"/>
  <c r="AY43" i="5"/>
  <c r="BB43" i="5" s="1"/>
  <c r="AY51" i="5"/>
  <c r="AY59" i="5"/>
  <c r="BB59" i="5" s="1"/>
  <c r="AY67" i="5"/>
  <c r="AY75" i="5"/>
  <c r="AY83" i="5"/>
  <c r="AY91" i="5"/>
  <c r="BB91" i="5" s="1"/>
  <c r="AY99" i="5"/>
  <c r="AY107" i="5"/>
  <c r="BB107" i="5" s="1"/>
  <c r="AY115" i="5"/>
  <c r="BB115" i="5" s="1"/>
  <c r="AY123" i="5"/>
  <c r="BB123" i="5" s="1"/>
  <c r="AY131" i="5"/>
  <c r="AY139" i="5"/>
  <c r="AY147" i="5"/>
  <c r="BB147" i="5" s="1"/>
  <c r="AY155" i="5"/>
  <c r="BB155" i="5" s="1"/>
  <c r="AY29" i="5"/>
  <c r="BB29" i="5" s="1"/>
  <c r="AY52" i="5"/>
  <c r="BB52" i="5" s="1"/>
  <c r="AY70" i="5"/>
  <c r="BB70" i="5" s="1"/>
  <c r="AY93" i="5"/>
  <c r="BB93" i="5" s="1"/>
  <c r="AY110" i="5"/>
  <c r="AY126" i="5"/>
  <c r="BB126" i="5" s="1"/>
  <c r="AY142" i="5"/>
  <c r="AY158" i="5"/>
  <c r="BB158" i="5" s="1"/>
  <c r="AY166" i="5"/>
  <c r="AY174" i="5"/>
  <c r="BB174" i="5" s="1"/>
  <c r="AY182" i="5"/>
  <c r="BB182" i="5" s="1"/>
  <c r="AY190" i="5"/>
  <c r="BB190" i="5" s="1"/>
  <c r="AY198" i="5"/>
  <c r="BB198" i="5" s="1"/>
  <c r="AY206" i="5"/>
  <c r="BB206" i="5" s="1"/>
  <c r="AY214" i="5"/>
  <c r="AY222" i="5"/>
  <c r="AY230" i="5"/>
  <c r="BB230" i="5" s="1"/>
  <c r="AY238" i="5"/>
  <c r="BB238" i="5" s="1"/>
  <c r="AY246" i="5"/>
  <c r="AY254" i="5"/>
  <c r="BB254" i="5" s="1"/>
  <c r="AY262" i="5"/>
  <c r="AY270" i="5"/>
  <c r="BB270" i="5" s="1"/>
  <c r="AY278" i="5"/>
  <c r="BB278" i="5" s="1"/>
  <c r="AY286" i="5"/>
  <c r="AY294" i="5"/>
  <c r="BB294" i="5" s="1"/>
  <c r="AY302" i="5"/>
  <c r="AY310" i="5"/>
  <c r="BB310" i="5" s="1"/>
  <c r="AY318" i="5"/>
  <c r="BB318" i="5" s="1"/>
  <c r="AY326" i="5"/>
  <c r="AY334" i="5"/>
  <c r="BB334" i="5" s="1"/>
  <c r="AY342" i="5"/>
  <c r="AY350" i="5"/>
  <c r="BB350" i="5" s="1"/>
  <c r="AY358" i="5"/>
  <c r="BB358" i="5" s="1"/>
  <c r="AY366" i="5"/>
  <c r="BB366" i="5" s="1"/>
  <c r="AY374" i="5"/>
  <c r="BB374" i="5" s="1"/>
  <c r="AY382" i="5"/>
  <c r="BB382" i="5" s="1"/>
  <c r="AY390" i="5"/>
  <c r="BB390" i="5" s="1"/>
  <c r="AY398" i="5"/>
  <c r="AY406" i="5"/>
  <c r="BB406" i="5" s="1"/>
  <c r="AY414" i="5"/>
  <c r="BB414" i="5" s="1"/>
  <c r="AY422" i="5"/>
  <c r="BB422" i="5" s="1"/>
  <c r="AY430" i="5"/>
  <c r="BB430" i="5" s="1"/>
  <c r="AY438" i="5"/>
  <c r="BB438" i="5" s="1"/>
  <c r="AY446" i="5"/>
  <c r="BB446" i="5" s="1"/>
  <c r="AY454" i="5"/>
  <c r="BB454" i="5" s="1"/>
  <c r="AY462" i="5"/>
  <c r="AY470" i="5"/>
  <c r="BB470" i="5" s="1"/>
  <c r="AY478" i="5"/>
  <c r="BB478" i="5" s="1"/>
  <c r="AY486" i="5"/>
  <c r="BB486" i="5" s="1"/>
  <c r="AY494" i="5"/>
  <c r="BB494" i="5" s="1"/>
  <c r="AY502" i="5"/>
  <c r="AY510" i="5"/>
  <c r="BB510" i="5" s="1"/>
  <c r="AY518" i="5"/>
  <c r="AY526" i="5"/>
  <c r="BB526" i="5" s="1"/>
  <c r="AY534" i="5"/>
  <c r="BB534" i="5" s="1"/>
  <c r="AY542" i="5"/>
  <c r="BB542" i="5" s="1"/>
  <c r="AY550" i="5"/>
  <c r="BB550" i="5" s="1"/>
  <c r="AY558" i="5"/>
  <c r="BB558" i="5" s="1"/>
  <c r="AY30" i="5"/>
  <c r="BB30" i="5" s="1"/>
  <c r="AY53" i="5"/>
  <c r="BB53" i="5" s="1"/>
  <c r="AY76" i="5"/>
  <c r="BB76" i="5" s="1"/>
  <c r="AY94" i="5"/>
  <c r="BB94" i="5" s="1"/>
  <c r="AY111" i="5"/>
  <c r="AY127" i="5"/>
  <c r="AY143" i="5"/>
  <c r="BB143" i="5" s="1"/>
  <c r="AY159" i="5"/>
  <c r="BB159" i="5" s="1"/>
  <c r="AY167" i="5"/>
  <c r="BB167" i="5" s="1"/>
  <c r="AY175" i="5"/>
  <c r="AY183" i="5"/>
  <c r="BB183" i="5" s="1"/>
  <c r="AY191" i="5"/>
  <c r="BB191" i="5" s="1"/>
  <c r="AY199" i="5"/>
  <c r="AY207" i="5"/>
  <c r="AY215" i="5"/>
  <c r="BB215" i="5" s="1"/>
  <c r="AY223" i="5"/>
  <c r="AY231" i="5"/>
  <c r="BB231" i="5" s="1"/>
  <c r="AY239" i="5"/>
  <c r="BB239" i="5" s="1"/>
  <c r="AY247" i="5"/>
  <c r="BB247" i="5" s="1"/>
  <c r="AY255" i="5"/>
  <c r="BB255" i="5" s="1"/>
  <c r="AY263" i="5"/>
  <c r="BB263" i="5" s="1"/>
  <c r="AY271" i="5"/>
  <c r="BB271" i="5" s="1"/>
  <c r="AY279" i="5"/>
  <c r="BB279" i="5" s="1"/>
  <c r="AY287" i="5"/>
  <c r="BB287" i="5" s="1"/>
  <c r="AY295" i="5"/>
  <c r="BB295" i="5" s="1"/>
  <c r="AY303" i="5"/>
  <c r="BB303" i="5" s="1"/>
  <c r="AY311" i="5"/>
  <c r="BB311" i="5" s="1"/>
  <c r="AY319" i="5"/>
  <c r="AY327" i="5"/>
  <c r="BB327" i="5" s="1"/>
  <c r="AY335" i="5"/>
  <c r="BB335" i="5" s="1"/>
  <c r="AY343" i="5"/>
  <c r="BB343" i="5" s="1"/>
  <c r="AY351" i="5"/>
  <c r="BB351" i="5" s="1"/>
  <c r="AY359" i="5"/>
  <c r="BB359" i="5" s="1"/>
  <c r="AY367" i="5"/>
  <c r="AY375" i="5"/>
  <c r="AY383" i="5"/>
  <c r="BB383" i="5" s="1"/>
  <c r="AY391" i="5"/>
  <c r="BB391" i="5" s="1"/>
  <c r="AY399" i="5"/>
  <c r="BB399" i="5" s="1"/>
  <c r="AY407" i="5"/>
  <c r="BB407" i="5" s="1"/>
  <c r="AY415" i="5"/>
  <c r="BB415" i="5" s="1"/>
  <c r="AY423" i="5"/>
  <c r="BB423" i="5" s="1"/>
  <c r="AY431" i="5"/>
  <c r="BB431" i="5" s="1"/>
  <c r="AY439" i="5"/>
  <c r="AY447" i="5"/>
  <c r="BB447" i="5" s="1"/>
  <c r="AY455" i="5"/>
  <c r="BB455" i="5" s="1"/>
  <c r="AY463" i="5"/>
  <c r="BB463" i="5" s="1"/>
  <c r="AY471" i="5"/>
  <c r="BB471" i="5" s="1"/>
  <c r="AY479" i="5"/>
  <c r="BB479" i="5" s="1"/>
  <c r="AY487" i="5"/>
  <c r="BB487" i="5" s="1"/>
  <c r="AY495" i="5"/>
  <c r="BB495" i="5" s="1"/>
  <c r="AY503" i="5"/>
  <c r="BB503" i="5" s="1"/>
  <c r="AY511" i="5"/>
  <c r="AY519" i="5"/>
  <c r="AY527" i="5"/>
  <c r="AY535" i="5"/>
  <c r="BB535" i="5" s="1"/>
  <c r="AY543" i="5"/>
  <c r="BB543" i="5" s="1"/>
  <c r="AY551" i="5"/>
  <c r="BB551" i="5" s="1"/>
  <c r="AY559" i="5"/>
  <c r="BB559" i="5" s="1"/>
  <c r="AY36" i="5"/>
  <c r="BB36" i="5" s="1"/>
  <c r="AY54" i="5"/>
  <c r="AY77" i="5"/>
  <c r="BB77" i="5" s="1"/>
  <c r="AY100" i="5"/>
  <c r="AY116" i="5"/>
  <c r="BB116" i="5" s="1"/>
  <c r="AY132" i="5"/>
  <c r="BB132" i="5" s="1"/>
  <c r="AY148" i="5"/>
  <c r="BB148" i="5" s="1"/>
  <c r="AY160" i="5"/>
  <c r="BB160" i="5" s="1"/>
  <c r="AY168" i="5"/>
  <c r="AY176" i="5"/>
  <c r="BB176" i="5" s="1"/>
  <c r="AY184" i="5"/>
  <c r="AY192" i="5"/>
  <c r="BB192" i="5" s="1"/>
  <c r="AY200" i="5"/>
  <c r="BB200" i="5" s="1"/>
  <c r="AY208" i="5"/>
  <c r="BB208" i="5" s="1"/>
  <c r="AY216" i="5"/>
  <c r="BB216" i="5" s="1"/>
  <c r="AY224" i="5"/>
  <c r="BB224" i="5" s="1"/>
  <c r="AY232" i="5"/>
  <c r="BB232" i="5" s="1"/>
  <c r="AY240" i="5"/>
  <c r="BB240" i="5" s="1"/>
  <c r="AY248" i="5"/>
  <c r="BB248" i="5" s="1"/>
  <c r="AY256" i="5"/>
  <c r="AY264" i="5"/>
  <c r="BB264" i="5" s="1"/>
  <c r="AY272" i="5"/>
  <c r="BB272" i="5" s="1"/>
  <c r="AY280" i="5"/>
  <c r="BB280" i="5" s="1"/>
  <c r="AY288" i="5"/>
  <c r="AY296" i="5"/>
  <c r="BB296" i="5" s="1"/>
  <c r="AY304" i="5"/>
  <c r="BB304" i="5" s="1"/>
  <c r="AY312" i="5"/>
  <c r="BB312" i="5" s="1"/>
  <c r="AY320" i="5"/>
  <c r="BB320" i="5" s="1"/>
  <c r="AY328" i="5"/>
  <c r="BB328" i="5" s="1"/>
  <c r="AY336" i="5"/>
  <c r="BB336" i="5" s="1"/>
  <c r="AY344" i="5"/>
  <c r="BB344" i="5" s="1"/>
  <c r="AY352" i="5"/>
  <c r="BB352" i="5" s="1"/>
  <c r="AY360" i="5"/>
  <c r="AY368" i="5"/>
  <c r="BB368" i="5" s="1"/>
  <c r="AY376" i="5"/>
  <c r="AY384" i="5"/>
  <c r="AY392" i="5"/>
  <c r="BB392" i="5" s="1"/>
  <c r="AY400" i="5"/>
  <c r="BB400" i="5" s="1"/>
  <c r="AY408" i="5"/>
  <c r="BB408" i="5" s="1"/>
  <c r="AY416" i="5"/>
  <c r="BB416" i="5" s="1"/>
  <c r="AY424" i="5"/>
  <c r="AY432" i="5"/>
  <c r="AY440" i="5"/>
  <c r="BB440" i="5" s="1"/>
  <c r="AY448" i="5"/>
  <c r="AY456" i="5"/>
  <c r="BB456" i="5" s="1"/>
  <c r="AY464" i="5"/>
  <c r="BB464" i="5" s="1"/>
  <c r="AY472" i="5"/>
  <c r="BB472" i="5" s="1"/>
  <c r="AY480" i="5"/>
  <c r="BB480" i="5" s="1"/>
  <c r="AY488" i="5"/>
  <c r="AY496" i="5"/>
  <c r="BB496" i="5" s="1"/>
  <c r="AY504" i="5"/>
  <c r="BB504" i="5" s="1"/>
  <c r="AY512" i="5"/>
  <c r="BB512" i="5" s="1"/>
  <c r="AY520" i="5"/>
  <c r="BB520" i="5" s="1"/>
  <c r="AY528" i="5"/>
  <c r="AY536" i="5"/>
  <c r="BB536" i="5" s="1"/>
  <c r="AY544" i="5"/>
  <c r="BB544" i="5" s="1"/>
  <c r="AY552" i="5"/>
  <c r="AY560" i="5"/>
  <c r="BB560" i="5" s="1"/>
  <c r="AY37" i="5"/>
  <c r="BB37" i="5" s="1"/>
  <c r="AY60" i="5"/>
  <c r="BB60" i="5" s="1"/>
  <c r="AY78" i="5"/>
  <c r="BB78" i="5" s="1"/>
  <c r="AY101" i="5"/>
  <c r="BB101" i="5" s="1"/>
  <c r="AY117" i="5"/>
  <c r="BB117" i="5" s="1"/>
  <c r="AY133" i="5"/>
  <c r="BB133" i="5" s="1"/>
  <c r="AY149" i="5"/>
  <c r="BB149" i="5" s="1"/>
  <c r="AY161" i="5"/>
  <c r="BB161" i="5" s="1"/>
  <c r="AY169" i="5"/>
  <c r="AY177" i="5"/>
  <c r="AY185" i="5"/>
  <c r="BB185" i="5" s="1"/>
  <c r="AY193" i="5"/>
  <c r="BB193" i="5" s="1"/>
  <c r="AY201" i="5"/>
  <c r="BB201" i="5" s="1"/>
  <c r="AY209" i="5"/>
  <c r="BB209" i="5" s="1"/>
  <c r="AY217" i="5"/>
  <c r="BB217" i="5" s="1"/>
  <c r="AY225" i="5"/>
  <c r="BB225" i="5" s="1"/>
  <c r="AY233" i="5"/>
  <c r="BB233" i="5" s="1"/>
  <c r="AY241" i="5"/>
  <c r="AY249" i="5"/>
  <c r="BB249" i="5" s="1"/>
  <c r="AY257" i="5"/>
  <c r="BB257" i="5" s="1"/>
  <c r="AY265" i="5"/>
  <c r="BB265" i="5" s="1"/>
  <c r="AY273" i="5"/>
  <c r="BB273" i="5" s="1"/>
  <c r="AY281" i="5"/>
  <c r="AY289" i="5"/>
  <c r="BB289" i="5" s="1"/>
  <c r="AY297" i="5"/>
  <c r="BB297" i="5" s="1"/>
  <c r="AY305" i="5"/>
  <c r="BB305" i="5" s="1"/>
  <c r="AY313" i="5"/>
  <c r="AY321" i="5"/>
  <c r="AY329" i="5"/>
  <c r="BB329" i="5" s="1"/>
  <c r="AY337" i="5"/>
  <c r="BB337" i="5" s="1"/>
  <c r="AY345" i="5"/>
  <c r="BB345" i="5" s="1"/>
  <c r="AY353" i="5"/>
  <c r="BB353" i="5" s="1"/>
  <c r="AY361" i="5"/>
  <c r="BB361" i="5" s="1"/>
  <c r="AY369" i="5"/>
  <c r="AY377" i="5"/>
  <c r="BB377" i="5" s="1"/>
  <c r="AY385" i="5"/>
  <c r="BB385" i="5" s="1"/>
  <c r="AY393" i="5"/>
  <c r="BB393" i="5" s="1"/>
  <c r="AY401" i="5"/>
  <c r="BB401" i="5" s="1"/>
  <c r="AY409" i="5"/>
  <c r="AY417" i="5"/>
  <c r="BB417" i="5" s="1"/>
  <c r="AY425" i="5"/>
  <c r="BB425" i="5" s="1"/>
  <c r="AY433" i="5"/>
  <c r="BB433" i="5" s="1"/>
  <c r="AY441" i="5"/>
  <c r="AY449" i="5"/>
  <c r="BB449" i="5" s="1"/>
  <c r="AY457" i="5"/>
  <c r="BB457" i="5" s="1"/>
  <c r="AY465" i="5"/>
  <c r="BB465" i="5" s="1"/>
  <c r="AY473" i="5"/>
  <c r="BB473" i="5" s="1"/>
  <c r="AY481" i="5"/>
  <c r="BB481" i="5" s="1"/>
  <c r="AY489" i="5"/>
  <c r="AY497" i="5"/>
  <c r="BB497" i="5" s="1"/>
  <c r="AY505" i="5"/>
  <c r="BB505" i="5" s="1"/>
  <c r="AY513" i="5"/>
  <c r="AY521" i="5"/>
  <c r="BB521" i="5" s="1"/>
  <c r="AY529" i="5"/>
  <c r="BB529" i="5" s="1"/>
  <c r="AY537" i="5"/>
  <c r="BB537" i="5" s="1"/>
  <c r="AY545" i="5"/>
  <c r="BB545" i="5" s="1"/>
  <c r="AY553" i="5"/>
  <c r="BB553" i="5" s="1"/>
  <c r="AY20" i="5"/>
  <c r="AY38" i="5"/>
  <c r="AY61" i="5"/>
  <c r="BB61" i="5" s="1"/>
  <c r="AY84" i="5"/>
  <c r="BB84" i="5" s="1"/>
  <c r="AY102" i="5"/>
  <c r="BB102" i="5" s="1"/>
  <c r="AY118" i="5"/>
  <c r="AY134" i="5"/>
  <c r="AY150" i="5"/>
  <c r="BB150" i="5" s="1"/>
  <c r="AY162" i="5"/>
  <c r="BB162" i="5" s="1"/>
  <c r="AY170" i="5"/>
  <c r="BB170" i="5" s="1"/>
  <c r="AY178" i="5"/>
  <c r="BB178" i="5" s="1"/>
  <c r="AY186" i="5"/>
  <c r="BB186" i="5" s="1"/>
  <c r="AY194" i="5"/>
  <c r="BB194" i="5" s="1"/>
  <c r="AY202" i="5"/>
  <c r="BB202" i="5" s="1"/>
  <c r="AY210" i="5"/>
  <c r="BB210" i="5" s="1"/>
  <c r="AY218" i="5"/>
  <c r="AY226" i="5"/>
  <c r="BB226" i="5" s="1"/>
  <c r="AY234" i="5"/>
  <c r="BB234" i="5" s="1"/>
  <c r="AY242" i="5"/>
  <c r="BB242" i="5" s="1"/>
  <c r="AY250" i="5"/>
  <c r="BB250" i="5" s="1"/>
  <c r="AY258" i="5"/>
  <c r="AY266" i="5"/>
  <c r="BB266" i="5" s="1"/>
  <c r="AY274" i="5"/>
  <c r="BB274" i="5" s="1"/>
  <c r="AY282" i="5"/>
  <c r="BB282" i="5" s="1"/>
  <c r="AY290" i="5"/>
  <c r="BB290" i="5" s="1"/>
  <c r="AY298" i="5"/>
  <c r="BB298" i="5" s="1"/>
  <c r="AY306" i="5"/>
  <c r="BB306" i="5" s="1"/>
  <c r="AY314" i="5"/>
  <c r="BB314" i="5" s="1"/>
  <c r="AY322" i="5"/>
  <c r="BB322" i="5" s="1"/>
  <c r="AY330" i="5"/>
  <c r="BB330" i="5" s="1"/>
  <c r="AY338" i="5"/>
  <c r="BB338" i="5" s="1"/>
  <c r="AY346" i="5"/>
  <c r="BB346" i="5" s="1"/>
  <c r="AY354" i="5"/>
  <c r="AY362" i="5"/>
  <c r="BB362" i="5" s="1"/>
  <c r="AY370" i="5"/>
  <c r="BB370" i="5" s="1"/>
  <c r="AY378" i="5"/>
  <c r="BB378" i="5" s="1"/>
  <c r="AY386" i="5"/>
  <c r="BB386" i="5" s="1"/>
  <c r="AY394" i="5"/>
  <c r="BB394" i="5" s="1"/>
  <c r="AY402" i="5"/>
  <c r="BB402" i="5" s="1"/>
  <c r="AY410" i="5"/>
  <c r="BB410" i="5" s="1"/>
  <c r="AY418" i="5"/>
  <c r="AY426" i="5"/>
  <c r="BB426" i="5" s="1"/>
  <c r="AY434" i="5"/>
  <c r="BB434" i="5" s="1"/>
  <c r="AY442" i="5"/>
  <c r="BB442" i="5" s="1"/>
  <c r="AY450" i="5"/>
  <c r="BB450" i="5" s="1"/>
  <c r="AY458" i="5"/>
  <c r="BB458" i="5" s="1"/>
  <c r="AY466" i="5"/>
  <c r="BB466" i="5" s="1"/>
  <c r="AY474" i="5"/>
  <c r="BB474" i="5" s="1"/>
  <c r="AY482" i="5"/>
  <c r="AY490" i="5"/>
  <c r="AY498" i="5"/>
  <c r="BB498" i="5" s="1"/>
  <c r="AY506" i="5"/>
  <c r="BB506" i="5" s="1"/>
  <c r="AY514" i="5"/>
  <c r="AY522" i="5"/>
  <c r="AY530" i="5"/>
  <c r="BB530" i="5" s="1"/>
  <c r="AY538" i="5"/>
  <c r="BB538" i="5" s="1"/>
  <c r="AY546" i="5"/>
  <c r="BB546" i="5" s="1"/>
  <c r="AY554" i="5"/>
  <c r="BB554" i="5" s="1"/>
  <c r="AY21" i="5"/>
  <c r="BB21" i="5" s="1"/>
  <c r="AY44" i="5"/>
  <c r="BB44" i="5" s="1"/>
  <c r="AY62" i="5"/>
  <c r="BB62" i="5" s="1"/>
  <c r="AY85" i="5"/>
  <c r="BB85" i="5" s="1"/>
  <c r="AY103" i="5"/>
  <c r="BB103" i="5" s="1"/>
  <c r="AY119" i="5"/>
  <c r="BB119" i="5" s="1"/>
  <c r="AY135" i="5"/>
  <c r="BB135" i="5" s="1"/>
  <c r="AY151" i="5"/>
  <c r="BB151" i="5" s="1"/>
  <c r="AY163" i="5"/>
  <c r="BB163" i="5" s="1"/>
  <c r="AY171" i="5"/>
  <c r="BB171" i="5" s="1"/>
  <c r="AY179" i="5"/>
  <c r="BB179" i="5" s="1"/>
  <c r="AY187" i="5"/>
  <c r="BB187" i="5" s="1"/>
  <c r="AY195" i="5"/>
  <c r="AY203" i="5"/>
  <c r="BB203" i="5" s="1"/>
  <c r="AY211" i="5"/>
  <c r="BB211" i="5" s="1"/>
  <c r="AY219" i="5"/>
  <c r="BB219" i="5" s="1"/>
  <c r="AY227" i="5"/>
  <c r="BB227" i="5" s="1"/>
  <c r="AY235" i="5"/>
  <c r="BB235" i="5" s="1"/>
  <c r="AY243" i="5"/>
  <c r="BB243" i="5" s="1"/>
  <c r="AY251" i="5"/>
  <c r="BB251" i="5" s="1"/>
  <c r="AY259" i="5"/>
  <c r="AY267" i="5"/>
  <c r="BB267" i="5" s="1"/>
  <c r="AY275" i="5"/>
  <c r="AY283" i="5"/>
  <c r="BB283" i="5" s="1"/>
  <c r="AY291" i="5"/>
  <c r="BB291" i="5" s="1"/>
  <c r="AY299" i="5"/>
  <c r="BB299" i="5" s="1"/>
  <c r="AY307" i="5"/>
  <c r="BB307" i="5" s="1"/>
  <c r="AY315" i="5"/>
  <c r="BB315" i="5" s="1"/>
  <c r="AY323" i="5"/>
  <c r="BB323" i="5" s="1"/>
  <c r="AY331" i="5"/>
  <c r="BB331" i="5" s="1"/>
  <c r="AY339" i="5"/>
  <c r="BB339" i="5" s="1"/>
  <c r="AY347" i="5"/>
  <c r="BB347" i="5" s="1"/>
  <c r="AY355" i="5"/>
  <c r="BB355" i="5" s="1"/>
  <c r="AY363" i="5"/>
  <c r="BB363" i="5" s="1"/>
  <c r="AY371" i="5"/>
  <c r="BB371" i="5" s="1"/>
  <c r="AY379" i="5"/>
  <c r="BB379" i="5" s="1"/>
  <c r="AY387" i="5"/>
  <c r="BB387" i="5" s="1"/>
  <c r="AY395" i="5"/>
  <c r="BB395" i="5" s="1"/>
  <c r="AY403" i="5"/>
  <c r="BB403" i="5" s="1"/>
  <c r="AY411" i="5"/>
  <c r="AY419" i="5"/>
  <c r="BB419" i="5" s="1"/>
  <c r="AY427" i="5"/>
  <c r="BB427" i="5" s="1"/>
  <c r="AY435" i="5"/>
  <c r="BB435" i="5" s="1"/>
  <c r="AY443" i="5"/>
  <c r="BB443" i="5" s="1"/>
  <c r="AY451" i="5"/>
  <c r="AY459" i="5"/>
  <c r="BB459" i="5" s="1"/>
  <c r="AY467" i="5"/>
  <c r="BB467" i="5" s="1"/>
  <c r="AY475" i="5"/>
  <c r="BB475" i="5" s="1"/>
  <c r="AY483" i="5"/>
  <c r="BB483" i="5" s="1"/>
  <c r="AY491" i="5"/>
  <c r="BB491" i="5" s="1"/>
  <c r="AY499" i="5"/>
  <c r="AY507" i="5"/>
  <c r="BB507" i="5" s="1"/>
  <c r="AY515" i="5"/>
  <c r="BB515" i="5" s="1"/>
  <c r="AY523" i="5"/>
  <c r="BB523" i="5" s="1"/>
  <c r="AY531" i="5"/>
  <c r="AY539" i="5"/>
  <c r="AY547" i="5"/>
  <c r="AY555" i="5"/>
  <c r="BB555" i="5" s="1"/>
  <c r="AY22" i="5"/>
  <c r="BB22" i="5" s="1"/>
  <c r="AY45" i="5"/>
  <c r="BB45" i="5" s="1"/>
  <c r="AY68" i="5"/>
  <c r="BB68" i="5" s="1"/>
  <c r="AY86" i="5"/>
  <c r="BB86" i="5" s="1"/>
  <c r="AY108" i="5"/>
  <c r="AY124" i="5"/>
  <c r="BB124" i="5" s="1"/>
  <c r="AY140" i="5"/>
  <c r="BB140" i="5" s="1"/>
  <c r="AY156" i="5"/>
  <c r="BB156" i="5" s="1"/>
  <c r="AY164" i="5"/>
  <c r="BB164" i="5" s="1"/>
  <c r="AY172" i="5"/>
  <c r="BB172" i="5" s="1"/>
  <c r="AY180" i="5"/>
  <c r="BB180" i="5" s="1"/>
  <c r="AY188" i="5"/>
  <c r="BB188" i="5" s="1"/>
  <c r="AY196" i="5"/>
  <c r="BB196" i="5" s="1"/>
  <c r="AY204" i="5"/>
  <c r="BB204" i="5" s="1"/>
  <c r="AY212" i="5"/>
  <c r="BB212" i="5" s="1"/>
  <c r="AY220" i="5"/>
  <c r="BB220" i="5" s="1"/>
  <c r="AY228" i="5"/>
  <c r="BB228" i="5" s="1"/>
  <c r="AY236" i="5"/>
  <c r="BB236" i="5" s="1"/>
  <c r="AY244" i="5"/>
  <c r="BB244" i="5" s="1"/>
  <c r="AY252" i="5"/>
  <c r="BB252" i="5" s="1"/>
  <c r="AY260" i="5"/>
  <c r="BB260" i="5" s="1"/>
  <c r="AY268" i="5"/>
  <c r="BB268" i="5" s="1"/>
  <c r="AY276" i="5"/>
  <c r="BB276" i="5" s="1"/>
  <c r="AY284" i="5"/>
  <c r="BB284" i="5" s="1"/>
  <c r="AY292" i="5"/>
  <c r="BB292" i="5" s="1"/>
  <c r="AY300" i="5"/>
  <c r="BB300" i="5" s="1"/>
  <c r="AY308" i="5"/>
  <c r="BB308" i="5" s="1"/>
  <c r="AY316" i="5"/>
  <c r="BB316" i="5" s="1"/>
  <c r="AY324" i="5"/>
  <c r="AY332" i="5"/>
  <c r="BB332" i="5" s="1"/>
  <c r="AY340" i="5"/>
  <c r="BB340" i="5" s="1"/>
  <c r="AY348" i="5"/>
  <c r="BB348" i="5" s="1"/>
  <c r="AY356" i="5"/>
  <c r="BB356" i="5" s="1"/>
  <c r="AY364" i="5"/>
  <c r="BB364" i="5" s="1"/>
  <c r="AY372" i="5"/>
  <c r="AY380" i="5"/>
  <c r="BB380" i="5" s="1"/>
  <c r="AY388" i="5"/>
  <c r="BB388" i="5" s="1"/>
  <c r="AY396" i="5"/>
  <c r="BB396" i="5" s="1"/>
  <c r="AY404" i="5"/>
  <c r="BB404" i="5" s="1"/>
  <c r="AY412" i="5"/>
  <c r="BB412" i="5" s="1"/>
  <c r="AY420" i="5"/>
  <c r="BB420" i="5" s="1"/>
  <c r="AY428" i="5"/>
  <c r="BB428" i="5" s="1"/>
  <c r="AY436" i="5"/>
  <c r="BB436" i="5" s="1"/>
  <c r="AY444" i="5"/>
  <c r="BB444" i="5" s="1"/>
  <c r="AY452" i="5"/>
  <c r="BB452" i="5" s="1"/>
  <c r="AY109" i="5"/>
  <c r="BB109" i="5" s="1"/>
  <c r="AY197" i="5"/>
  <c r="BB197" i="5" s="1"/>
  <c r="AY261" i="5"/>
  <c r="BB261" i="5" s="1"/>
  <c r="AY325" i="5"/>
  <c r="BB325" i="5" s="1"/>
  <c r="AY389" i="5"/>
  <c r="BB389" i="5" s="1"/>
  <c r="AY453" i="5"/>
  <c r="BB453" i="5" s="1"/>
  <c r="AY485" i="5"/>
  <c r="BB485" i="5" s="1"/>
  <c r="AY517" i="5"/>
  <c r="BB517" i="5" s="1"/>
  <c r="AY549" i="5"/>
  <c r="BB549" i="5" s="1"/>
  <c r="AY125" i="5"/>
  <c r="BB125" i="5" s="1"/>
  <c r="AY205" i="5"/>
  <c r="BB205" i="5" s="1"/>
  <c r="AY269" i="5"/>
  <c r="BB269" i="5" s="1"/>
  <c r="AY333" i="5"/>
  <c r="BB333" i="5" s="1"/>
  <c r="AY397" i="5"/>
  <c r="BB397" i="5" s="1"/>
  <c r="AY460" i="5"/>
  <c r="BB460" i="5" s="1"/>
  <c r="AY492" i="5"/>
  <c r="BB492" i="5" s="1"/>
  <c r="AY524" i="5"/>
  <c r="BB524" i="5" s="1"/>
  <c r="AY556" i="5"/>
  <c r="BB556" i="5" s="1"/>
  <c r="AY141" i="5"/>
  <c r="BB141" i="5" s="1"/>
  <c r="AY213" i="5"/>
  <c r="BB213" i="5" s="1"/>
  <c r="AY277" i="5"/>
  <c r="AY341" i="5"/>
  <c r="BB341" i="5" s="1"/>
  <c r="AY405" i="5"/>
  <c r="BB405" i="5" s="1"/>
  <c r="AY461" i="5"/>
  <c r="BB461" i="5" s="1"/>
  <c r="AY493" i="5"/>
  <c r="BB493" i="5" s="1"/>
  <c r="AY525" i="5"/>
  <c r="BB525" i="5" s="1"/>
  <c r="AY557" i="5"/>
  <c r="BB557" i="5" s="1"/>
  <c r="AY157" i="5"/>
  <c r="BB157" i="5" s="1"/>
  <c r="AY221" i="5"/>
  <c r="BB221" i="5" s="1"/>
  <c r="AY285" i="5"/>
  <c r="BB285" i="5" s="1"/>
  <c r="AY349" i="5"/>
  <c r="BB349" i="5" s="1"/>
  <c r="AY413" i="5"/>
  <c r="BB413" i="5" s="1"/>
  <c r="AY468" i="5"/>
  <c r="BB468" i="5" s="1"/>
  <c r="AY500" i="5"/>
  <c r="BB500" i="5" s="1"/>
  <c r="AY532" i="5"/>
  <c r="BB532" i="5" s="1"/>
  <c r="AY28" i="5"/>
  <c r="BB28" i="5" s="1"/>
  <c r="AY165" i="5"/>
  <c r="BB165" i="5" s="1"/>
  <c r="AY229" i="5"/>
  <c r="BB229" i="5" s="1"/>
  <c r="AY293" i="5"/>
  <c r="BB293" i="5" s="1"/>
  <c r="AY357" i="5"/>
  <c r="BB357" i="5" s="1"/>
  <c r="AY421" i="5"/>
  <c r="BB421" i="5" s="1"/>
  <c r="AY469" i="5"/>
  <c r="BB469" i="5" s="1"/>
  <c r="AY501" i="5"/>
  <c r="BB501" i="5" s="1"/>
  <c r="AY533" i="5"/>
  <c r="BB533" i="5" s="1"/>
  <c r="AY69" i="5"/>
  <c r="BB69" i="5" s="1"/>
  <c r="AY181" i="5"/>
  <c r="BB181" i="5" s="1"/>
  <c r="AY245" i="5"/>
  <c r="BB245" i="5" s="1"/>
  <c r="AY309" i="5"/>
  <c r="AY373" i="5"/>
  <c r="BB373" i="5" s="1"/>
  <c r="AY437" i="5"/>
  <c r="BB437" i="5" s="1"/>
  <c r="AY477" i="5"/>
  <c r="BB477" i="5" s="1"/>
  <c r="AY509" i="5"/>
  <c r="BB509" i="5" s="1"/>
  <c r="AY541" i="5"/>
  <c r="BB541" i="5" s="1"/>
  <c r="AY8" i="5"/>
  <c r="AY92" i="5"/>
  <c r="BB92" i="5" s="1"/>
  <c r="AY189" i="5"/>
  <c r="BB189" i="5" s="1"/>
  <c r="AY253" i="5"/>
  <c r="BB253" i="5" s="1"/>
  <c r="AY317" i="5"/>
  <c r="BB317" i="5" s="1"/>
  <c r="AY381" i="5"/>
  <c r="BB381" i="5" s="1"/>
  <c r="AY445" i="5"/>
  <c r="BB445" i="5" s="1"/>
  <c r="AY484" i="5"/>
  <c r="BB484" i="5" s="1"/>
  <c r="AY516" i="5"/>
  <c r="BB516" i="5" s="1"/>
  <c r="AY548" i="5"/>
  <c r="BB548" i="5" s="1"/>
  <c r="AY476" i="5"/>
  <c r="BB476" i="5" s="1"/>
  <c r="AY7" i="5"/>
  <c r="AY508" i="5"/>
  <c r="BB508" i="5" s="1"/>
  <c r="AY19" i="5"/>
  <c r="BB19" i="5" s="1"/>
  <c r="AY46" i="5"/>
  <c r="BB46" i="5" s="1"/>
  <c r="AY540" i="5"/>
  <c r="BB540" i="5" s="1"/>
  <c r="AY173" i="5"/>
  <c r="AY237" i="5"/>
  <c r="BB237" i="5" s="1"/>
  <c r="AY301" i="5"/>
  <c r="BB301" i="5" s="1"/>
  <c r="AY365" i="5"/>
  <c r="BB365" i="5" s="1"/>
  <c r="AY429" i="5"/>
  <c r="BB429" i="5" s="1"/>
  <c r="BB111" i="5"/>
  <c r="BB121" i="5"/>
  <c r="BB169" i="5"/>
  <c r="BB482" i="5"/>
  <c r="BB309" i="5"/>
  <c r="BB547" i="5"/>
  <c r="BB439" i="5"/>
  <c r="BB502" i="5"/>
  <c r="BB63" i="5"/>
  <c r="BB139" i="5"/>
  <c r="BB424" i="5"/>
  <c r="BB528" i="5"/>
  <c r="BB39" i="5"/>
  <c r="BB195" i="5"/>
  <c r="BB286" i="5"/>
  <c r="BB207" i="5"/>
  <c r="BB258" i="5"/>
  <c r="BB342" i="5"/>
  <c r="BB451" i="5"/>
  <c r="BB490" i="5"/>
  <c r="BB26" i="5"/>
  <c r="BB54" i="5"/>
  <c r="BB113" i="5"/>
  <c r="BB246" i="5"/>
  <c r="BB375" i="5"/>
  <c r="BB441" i="5"/>
  <c r="BB79" i="5"/>
  <c r="BB313" i="5"/>
  <c r="BB100" i="5"/>
  <c r="BB99" i="5"/>
  <c r="BB376" i="5"/>
  <c r="BB384" i="5"/>
  <c r="BB372" i="5"/>
  <c r="BB432" i="5"/>
  <c r="BB166" i="5"/>
  <c r="BB75" i="5"/>
  <c r="BB127" i="5"/>
  <c r="BB177" i="5"/>
  <c r="BB489" i="5"/>
  <c r="BB241" i="5"/>
  <c r="BB518" i="5"/>
  <c r="BB20" i="5"/>
  <c r="BB81" i="5"/>
  <c r="BB168" i="5"/>
  <c r="BB367" i="5"/>
  <c r="BB519" i="5"/>
  <c r="BB153" i="5"/>
  <c r="BB281" i="5"/>
  <c r="BB539" i="5"/>
  <c r="BB142" i="5"/>
  <c r="BB199" i="5"/>
  <c r="BB360" i="5"/>
  <c r="BB222" i="5"/>
  <c r="BB259" i="5"/>
  <c r="BB418" i="5"/>
  <c r="BB514" i="5"/>
  <c r="BB25" i="5"/>
  <c r="BB114" i="5"/>
  <c r="BB319" i="5"/>
  <c r="BB448" i="5"/>
  <c r="BB511" i="5"/>
  <c r="BB134" i="5"/>
  <c r="BB324" i="5"/>
  <c r="BB110" i="5"/>
  <c r="BB499" i="5"/>
  <c r="BB138" i="5"/>
  <c r="BB302" i="5"/>
  <c r="BB354" i="5"/>
  <c r="BB488" i="5"/>
  <c r="BB531" i="5"/>
  <c r="BB38" i="5"/>
  <c r="BB131" i="5"/>
  <c r="BB214" i="5"/>
  <c r="BB256" i="5"/>
  <c r="BB41" i="5"/>
  <c r="BB83" i="5"/>
  <c r="BB277" i="5"/>
  <c r="BB326" i="5"/>
  <c r="BB527" i="5"/>
  <c r="BB74" i="5"/>
  <c r="BB173" i="5"/>
  <c r="BB398" i="5"/>
  <c r="BB552" i="5"/>
  <c r="BB51" i="5"/>
  <c r="BB218" i="5"/>
  <c r="BB288" i="5"/>
  <c r="BB411" i="5"/>
  <c r="BB522" i="5"/>
  <c r="BB71" i="5"/>
  <c r="BB108" i="5"/>
  <c r="BB184" i="5"/>
  <c r="BB223" i="5"/>
  <c r="BB275" i="5"/>
  <c r="BB369" i="5"/>
  <c r="BB462" i="5"/>
  <c r="BB27" i="5"/>
  <c r="BB67" i="5"/>
  <c r="BB118" i="5"/>
  <c r="BB175" i="5"/>
  <c r="BB262" i="5"/>
  <c r="BB321" i="5"/>
  <c r="BB409" i="5"/>
  <c r="BB513" i="5"/>
  <c r="M8" i="8"/>
  <c r="B152" i="3"/>
  <c r="M8" i="6"/>
  <c r="N12" i="5"/>
  <c r="AS12" i="5" s="1"/>
  <c r="B48" i="5"/>
  <c r="B146" i="3"/>
  <c r="B55" i="5"/>
  <c r="B12" i="5"/>
  <c r="AY12" i="5" l="1"/>
  <c r="BA421" i="5"/>
  <c r="AZ421" i="5"/>
  <c r="BA446" i="5"/>
  <c r="AZ446" i="5"/>
  <c r="BA29" i="5"/>
  <c r="AZ29" i="5"/>
  <c r="AZ352" i="5"/>
  <c r="BA352" i="5"/>
  <c r="AZ497" i="5"/>
  <c r="BA497" i="5"/>
  <c r="BA170" i="5"/>
  <c r="AZ170" i="5"/>
  <c r="BA411" i="5"/>
  <c r="AZ411" i="5"/>
  <c r="AZ319" i="5"/>
  <c r="BA319" i="5"/>
  <c r="AZ367" i="5"/>
  <c r="BA367" i="5"/>
  <c r="AZ203" i="5"/>
  <c r="BA203" i="5"/>
  <c r="AZ494" i="5"/>
  <c r="BA494" i="5"/>
  <c r="AZ137" i="5"/>
  <c r="BA137" i="5"/>
  <c r="BA90" i="5"/>
  <c r="AZ90" i="5"/>
  <c r="BA168" i="5"/>
  <c r="AZ168" i="5"/>
  <c r="AZ44" i="5"/>
  <c r="BA44" i="5"/>
  <c r="BA144" i="5"/>
  <c r="AZ144" i="5"/>
  <c r="BA66" i="5"/>
  <c r="AZ66" i="5"/>
  <c r="BA65" i="5"/>
  <c r="AZ65" i="5"/>
  <c r="BA140" i="5"/>
  <c r="AZ140" i="5"/>
  <c r="AZ416" i="5"/>
  <c r="BA416" i="5"/>
  <c r="AZ504" i="5"/>
  <c r="BA504" i="5"/>
  <c r="BA516" i="5"/>
  <c r="AZ516" i="5"/>
  <c r="AZ51" i="5"/>
  <c r="BA51" i="5"/>
  <c r="BA249" i="5"/>
  <c r="AZ249" i="5"/>
  <c r="BA401" i="5"/>
  <c r="AZ401" i="5"/>
  <c r="BA148" i="5"/>
  <c r="AZ148" i="5"/>
  <c r="AZ355" i="5"/>
  <c r="BA355" i="5"/>
  <c r="BA534" i="5"/>
  <c r="AZ534" i="5"/>
  <c r="BA306" i="5"/>
  <c r="AZ306" i="5"/>
  <c r="BA188" i="5"/>
  <c r="AZ188" i="5"/>
  <c r="BA207" i="5"/>
  <c r="AZ207" i="5"/>
  <c r="BA281" i="5"/>
  <c r="AZ281" i="5"/>
  <c r="AZ508" i="5"/>
  <c r="BA508" i="5"/>
  <c r="BA328" i="5"/>
  <c r="AZ328" i="5"/>
  <c r="AZ435" i="5"/>
  <c r="BA435" i="5"/>
  <c r="BA379" i="5"/>
  <c r="AZ379" i="5"/>
  <c r="BA80" i="5"/>
  <c r="AZ80" i="5"/>
  <c r="AZ177" i="5"/>
  <c r="BA177" i="5"/>
  <c r="BA68" i="5"/>
  <c r="AZ68" i="5"/>
  <c r="BA533" i="5"/>
  <c r="AZ533" i="5"/>
  <c r="BA287" i="5"/>
  <c r="AZ287" i="5"/>
  <c r="AZ204" i="5"/>
  <c r="BA204" i="5"/>
  <c r="BA161" i="5"/>
  <c r="AZ161" i="5"/>
  <c r="BA297" i="5"/>
  <c r="AZ297" i="5"/>
  <c r="BA112" i="5"/>
  <c r="AZ112" i="5"/>
  <c r="AV524" i="5"/>
  <c r="AV505" i="5"/>
  <c r="AV502" i="5"/>
  <c r="AV496" i="5"/>
  <c r="AV475" i="5"/>
  <c r="AV468" i="5"/>
  <c r="AV435" i="5"/>
  <c r="AV432" i="5"/>
  <c r="AV428" i="5"/>
  <c r="AV418" i="5"/>
  <c r="AV414" i="5"/>
  <c r="AV398" i="5"/>
  <c r="AV389" i="5"/>
  <c r="AV375" i="5"/>
  <c r="AV371" i="5"/>
  <c r="AV350" i="5"/>
  <c r="AV306" i="5"/>
  <c r="AV294" i="5"/>
  <c r="AV286" i="5"/>
  <c r="AV251" i="5"/>
  <c r="AV229" i="5"/>
  <c r="AV227" i="5"/>
  <c r="AV225" i="5"/>
  <c r="AV528" i="5"/>
  <c r="AV518" i="5"/>
  <c r="AV480" i="5"/>
  <c r="AV469" i="5"/>
  <c r="AV445" i="5"/>
  <c r="AV430" i="5"/>
  <c r="AV406" i="5"/>
  <c r="AV382" i="5"/>
  <c r="AV367" i="5"/>
  <c r="AV322" i="5"/>
  <c r="AV317" i="5"/>
  <c r="AV309" i="5"/>
  <c r="AV303" i="5"/>
  <c r="AV279" i="5"/>
  <c r="AV276" i="5"/>
  <c r="AV261" i="5"/>
  <c r="AV254" i="5"/>
  <c r="AV246" i="5"/>
  <c r="AV237" i="5"/>
  <c r="AV233" i="5"/>
  <c r="AV218" i="5"/>
  <c r="AV214" i="5"/>
  <c r="AV206" i="5"/>
  <c r="AV557" i="5"/>
  <c r="AV546" i="5"/>
  <c r="AV535" i="5"/>
  <c r="AV504" i="5"/>
  <c r="AV487" i="5"/>
  <c r="AV394" i="5"/>
  <c r="AV384" i="5"/>
  <c r="AV365" i="5"/>
  <c r="AV356" i="5"/>
  <c r="AV348" i="5"/>
  <c r="AV346" i="5"/>
  <c r="AV338" i="5"/>
  <c r="AV320" i="5"/>
  <c r="AV299" i="5"/>
  <c r="AV273" i="5"/>
  <c r="AV267" i="5"/>
  <c r="AV257" i="5"/>
  <c r="AV230" i="5"/>
  <c r="AV197" i="5"/>
  <c r="AV194" i="5"/>
  <c r="AV538" i="5"/>
  <c r="AV529" i="5"/>
  <c r="AV498" i="5"/>
  <c r="AV484" i="5"/>
  <c r="AV458" i="5"/>
  <c r="AV457" i="5"/>
  <c r="AV454" i="5"/>
  <c r="AV440" i="5"/>
  <c r="AV433" i="5"/>
  <c r="AV425" i="5"/>
  <c r="AV385" i="5"/>
  <c r="AV358" i="5"/>
  <c r="AV344" i="5"/>
  <c r="AV341" i="5"/>
  <c r="AV329" i="5"/>
  <c r="AV262" i="5"/>
  <c r="AV187" i="5"/>
  <c r="AV532" i="5"/>
  <c r="AV482" i="5"/>
  <c r="AV474" i="5"/>
  <c r="AV463" i="5"/>
  <c r="AV449" i="5"/>
  <c r="AV442" i="5"/>
  <c r="AV401" i="5"/>
  <c r="AV390" i="5"/>
  <c r="AV372" i="5"/>
  <c r="AV353" i="5"/>
  <c r="AV336" i="5"/>
  <c r="AV333" i="5"/>
  <c r="AV313" i="5"/>
  <c r="AV305" i="5"/>
  <c r="AV295" i="5"/>
  <c r="AV277" i="5"/>
  <c r="AV238" i="5"/>
  <c r="AV235" i="5"/>
  <c r="AV219" i="5"/>
  <c r="AV195" i="5"/>
  <c r="AV547" i="5"/>
  <c r="AV542" i="5"/>
  <c r="AV525" i="5"/>
  <c r="AV515" i="5"/>
  <c r="AV510" i="5"/>
  <c r="AV509" i="5"/>
  <c r="AV479" i="5"/>
  <c r="AV471" i="5"/>
  <c r="AV466" i="5"/>
  <c r="AV446" i="5"/>
  <c r="AV434" i="5"/>
  <c r="AV422" i="5"/>
  <c r="AV420" i="5"/>
  <c r="AV412" i="5"/>
  <c r="AV407" i="5"/>
  <c r="AV404" i="5"/>
  <c r="AV376" i="5"/>
  <c r="AV361" i="5"/>
  <c r="AV349" i="5"/>
  <c r="AV316" i="5"/>
  <c r="AV310" i="5"/>
  <c r="AV300" i="5"/>
  <c r="AV275" i="5"/>
  <c r="AV270" i="5"/>
  <c r="AV268" i="5"/>
  <c r="AV243" i="5"/>
  <c r="AV226" i="5"/>
  <c r="AV221" i="5"/>
  <c r="AV198" i="5"/>
  <c r="AV193" i="5"/>
  <c r="AV556" i="5"/>
  <c r="AV539" i="5"/>
  <c r="AV536" i="5"/>
  <c r="AV533" i="5"/>
  <c r="AV523" i="5"/>
  <c r="AV497" i="5"/>
  <c r="AV417" i="5"/>
  <c r="AV368" i="5"/>
  <c r="AV366" i="5"/>
  <c r="AV357" i="5"/>
  <c r="AV330" i="5"/>
  <c r="AV321" i="5"/>
  <c r="AV266" i="5"/>
  <c r="AV263" i="5"/>
  <c r="AV250" i="5"/>
  <c r="AV245" i="5"/>
  <c r="AV222" i="5"/>
  <c r="AV213" i="5"/>
  <c r="AV205" i="5"/>
  <c r="AV202" i="5"/>
  <c r="AV184" i="5"/>
  <c r="AV537" i="5"/>
  <c r="AV325" i="5"/>
  <c r="AV157" i="5"/>
  <c r="AV153" i="5"/>
  <c r="AV127" i="5"/>
  <c r="AV120" i="5"/>
  <c r="AV89" i="5"/>
  <c r="AV73" i="5"/>
  <c r="AV63" i="5"/>
  <c r="AV55" i="5"/>
  <c r="AV47" i="5"/>
  <c r="AV26" i="5"/>
  <c r="AV172" i="5"/>
  <c r="AV110" i="5"/>
  <c r="AV517" i="5"/>
  <c r="AV512" i="5"/>
  <c r="AV180" i="5"/>
  <c r="AV168" i="5"/>
  <c r="AV151" i="5"/>
  <c r="AV149" i="5"/>
  <c r="AV132" i="5"/>
  <c r="AV111" i="5"/>
  <c r="AV103" i="5"/>
  <c r="AV101" i="5"/>
  <c r="AV95" i="5"/>
  <c r="AV81" i="5"/>
  <c r="AV74" i="5"/>
  <c r="AV23" i="5"/>
  <c r="AV486" i="5"/>
  <c r="AV337" i="5"/>
  <c r="AV185" i="5"/>
  <c r="AV182" i="5"/>
  <c r="AV173" i="5"/>
  <c r="AV169" i="5"/>
  <c r="AV160" i="5"/>
  <c r="AV87" i="5"/>
  <c r="AV85" i="5"/>
  <c r="AV40" i="5"/>
  <c r="AV31" i="5"/>
  <c r="AV176" i="5"/>
  <c r="AV437" i="5"/>
  <c r="AV423" i="5"/>
  <c r="AV165" i="5"/>
  <c r="AV161" i="5"/>
  <c r="AV158" i="5"/>
  <c r="AV143" i="5"/>
  <c r="AV135" i="5"/>
  <c r="AV128" i="5"/>
  <c r="AV123" i="5"/>
  <c r="AV112" i="5"/>
  <c r="AV108" i="5"/>
  <c r="AV104" i="5"/>
  <c r="AV88" i="5"/>
  <c r="AV373" i="5"/>
  <c r="AV258" i="5"/>
  <c r="AV152" i="5"/>
  <c r="AV115" i="5"/>
  <c r="AV34" i="5"/>
  <c r="AV551" i="5"/>
  <c r="AV405" i="5"/>
  <c r="AV387" i="5"/>
  <c r="AV345" i="5"/>
  <c r="AV302" i="5"/>
  <c r="AV278" i="5"/>
  <c r="AV189" i="5"/>
  <c r="AV174" i="5"/>
  <c r="AV98" i="5"/>
  <c r="AV64" i="5"/>
  <c r="AV56" i="5"/>
  <c r="AV48" i="5"/>
  <c r="AV33" i="5"/>
  <c r="AV80" i="5"/>
  <c r="AV541" i="5"/>
  <c r="AV289" i="5"/>
  <c r="AV210" i="5"/>
  <c r="AV192" i="5"/>
  <c r="AV181" i="5"/>
  <c r="AV148" i="5"/>
  <c r="AV134" i="5"/>
  <c r="AV119" i="5"/>
  <c r="AV100" i="5"/>
  <c r="AV84" i="5"/>
  <c r="AV39" i="5"/>
  <c r="AV25" i="5"/>
  <c r="AV553" i="5"/>
  <c r="AV483" i="5"/>
  <c r="AV450" i="5"/>
  <c r="AV177" i="5"/>
  <c r="AV144" i="5"/>
  <c r="AV139" i="5"/>
  <c r="AV131" i="5"/>
  <c r="AV86" i="5"/>
  <c r="AV66" i="5"/>
  <c r="AV65" i="5"/>
  <c r="AV58" i="5"/>
  <c r="AV57" i="5"/>
  <c r="AV50" i="5"/>
  <c r="AV49" i="5"/>
  <c r="AV42" i="5"/>
  <c r="AV41" i="5"/>
  <c r="AV409" i="5"/>
  <c r="AV136" i="5"/>
  <c r="AV36" i="5"/>
  <c r="AV118" i="5"/>
  <c r="AV52" i="5"/>
  <c r="AV560" i="5"/>
  <c r="AV492" i="5"/>
  <c r="AV77" i="5"/>
  <c r="AV99" i="5"/>
  <c r="AV69" i="5"/>
  <c r="AV97" i="5"/>
  <c r="AV204" i="5"/>
  <c r="AV271" i="5"/>
  <c r="AV285" i="5"/>
  <c r="AV282" i="5"/>
  <c r="AV297" i="5"/>
  <c r="AV304" i="5"/>
  <c r="AV124" i="5"/>
  <c r="AV126" i="5"/>
  <c r="AV78" i="5"/>
  <c r="AV60" i="5"/>
  <c r="AV426" i="5"/>
  <c r="AV217" i="5"/>
  <c r="AV326" i="5"/>
  <c r="AV342" i="5"/>
  <c r="AV75" i="5"/>
  <c r="AV96" i="5"/>
  <c r="AV35" i="5"/>
  <c r="AV59" i="5"/>
  <c r="AV91" i="5"/>
  <c r="AV29" i="5"/>
  <c r="AV140" i="5"/>
  <c r="AV130" i="5"/>
  <c r="AV175" i="5"/>
  <c r="AV154" i="5"/>
  <c r="AV142" i="5"/>
  <c r="AV150" i="5"/>
  <c r="AV207" i="5"/>
  <c r="AV191" i="5"/>
  <c r="AV236" i="5"/>
  <c r="AV231" i="5"/>
  <c r="AV252" i="5"/>
  <c r="AV287" i="5"/>
  <c r="AV292" i="5"/>
  <c r="AV293" i="5"/>
  <c r="AV323" i="5"/>
  <c r="AV311" i="5"/>
  <c r="AV116" i="5"/>
  <c r="AV415" i="5"/>
  <c r="AV443" i="5"/>
  <c r="AV76" i="5"/>
  <c r="AV102" i="5"/>
  <c r="AV70" i="5"/>
  <c r="AV90" i="5"/>
  <c r="AV133" i="5"/>
  <c r="AV129" i="5"/>
  <c r="AV183" i="5"/>
  <c r="AV220" i="5"/>
  <c r="AV211" i="5"/>
  <c r="AV224" i="5"/>
  <c r="AV249" i="5"/>
  <c r="AV291" i="5"/>
  <c r="AV234" i="5"/>
  <c r="AV506" i="5"/>
  <c r="AV431" i="5"/>
  <c r="AV478" i="5"/>
  <c r="AV462" i="5"/>
  <c r="AV493" i="5"/>
  <c r="AV32" i="5"/>
  <c r="AV51" i="5"/>
  <c r="AV92" i="5"/>
  <c r="AV22" i="5"/>
  <c r="AV38" i="5"/>
  <c r="AV54" i="5"/>
  <c r="AV105" i="5"/>
  <c r="AV113" i="5"/>
  <c r="AV137" i="5"/>
  <c r="AV141" i="5"/>
  <c r="AV146" i="5"/>
  <c r="AV147" i="5"/>
  <c r="AV162" i="5"/>
  <c r="AV178" i="5"/>
  <c r="AV209" i="5"/>
  <c r="AV208" i="5"/>
  <c r="AV215" i="5"/>
  <c r="AV239" i="5"/>
  <c r="AV244" i="5"/>
  <c r="AV255" i="5"/>
  <c r="AV256" i="5"/>
  <c r="AV298" i="5"/>
  <c r="AV272" i="5"/>
  <c r="AV343" i="5"/>
  <c r="AV489" i="5"/>
  <c r="AV544" i="5"/>
  <c r="AV109" i="5"/>
  <c r="AV19" i="5"/>
  <c r="AV82" i="5"/>
  <c r="AV159" i="5"/>
  <c r="AV156" i="5"/>
  <c r="AV164" i="5"/>
  <c r="AV212" i="5"/>
  <c r="AV223" i="5"/>
  <c r="AV269" i="5"/>
  <c r="AV264" i="5"/>
  <c r="AV283" i="5"/>
  <c r="AV359" i="5"/>
  <c r="AV301" i="5"/>
  <c r="AV20" i="5"/>
  <c r="AV190" i="5"/>
  <c r="AV280" i="5"/>
  <c r="AV93" i="5"/>
  <c r="AV83" i="5"/>
  <c r="AV43" i="5"/>
  <c r="AV67" i="5"/>
  <c r="AV94" i="5"/>
  <c r="AV45" i="5"/>
  <c r="AV121" i="5"/>
  <c r="AV122" i="5"/>
  <c r="AV125" i="5"/>
  <c r="AV138" i="5"/>
  <c r="AV166" i="5"/>
  <c r="AV186" i="5"/>
  <c r="AV155" i="5"/>
  <c r="AV167" i="5"/>
  <c r="AV163" i="5"/>
  <c r="AV201" i="5"/>
  <c r="AV253" i="5"/>
  <c r="AV260" i="5"/>
  <c r="AV259" i="5"/>
  <c r="AV334" i="5"/>
  <c r="AV324" i="5"/>
  <c r="AV179" i="5"/>
  <c r="AV265" i="5"/>
  <c r="AV72" i="5"/>
  <c r="AV53" i="5"/>
  <c r="AV21" i="5"/>
  <c r="AV79" i="5"/>
  <c r="AV106" i="5"/>
  <c r="AV24" i="5"/>
  <c r="AV107" i="5"/>
  <c r="AV203" i="5"/>
  <c r="AV196" i="5"/>
  <c r="AV216" i="5"/>
  <c r="AV232" i="5"/>
  <c r="AV247" i="5"/>
  <c r="AV242" i="5"/>
  <c r="AV241" i="5"/>
  <c r="AV284" i="5"/>
  <c r="AV328" i="5"/>
  <c r="AV308" i="5"/>
  <c r="AV28" i="5"/>
  <c r="AV37" i="5"/>
  <c r="AV240" i="5"/>
  <c r="AV248" i="5"/>
  <c r="AV335" i="5"/>
  <c r="AV374" i="5"/>
  <c r="AV381" i="5"/>
  <c r="AV410" i="5"/>
  <c r="AV447" i="5"/>
  <c r="AV452" i="5"/>
  <c r="AV444" i="5"/>
  <c r="AV485" i="5"/>
  <c r="AV522" i="5"/>
  <c r="AV526" i="5"/>
  <c r="AV534" i="5"/>
  <c r="AV545" i="5"/>
  <c r="AV362" i="5"/>
  <c r="AV550" i="5"/>
  <c r="AV27" i="5"/>
  <c r="AV46" i="5"/>
  <c r="AV228" i="5"/>
  <c r="AV307" i="5"/>
  <c r="AV360" i="5"/>
  <c r="AV380" i="5"/>
  <c r="AV386" i="5"/>
  <c r="AV378" i="5"/>
  <c r="AV490" i="5"/>
  <c r="AV476" i="5"/>
  <c r="AV516" i="5"/>
  <c r="AV491" i="5"/>
  <c r="AV531" i="5"/>
  <c r="AV527" i="5"/>
  <c r="AV44" i="5"/>
  <c r="AV171" i="5"/>
  <c r="AV290" i="5"/>
  <c r="AV314" i="5"/>
  <c r="AV354" i="5"/>
  <c r="AV315" i="5"/>
  <c r="AV363" i="5"/>
  <c r="AV393" i="5"/>
  <c r="AV408" i="5"/>
  <c r="AV436" i="5"/>
  <c r="AV448" i="5"/>
  <c r="AV460" i="5"/>
  <c r="AV481" i="5"/>
  <c r="AV473" i="5"/>
  <c r="AV488" i="5"/>
  <c r="AV508" i="5"/>
  <c r="AV554" i="5"/>
  <c r="AV558" i="5"/>
  <c r="AV555" i="5"/>
  <c r="AV429" i="5"/>
  <c r="AV494" i="5"/>
  <c r="AV540" i="5"/>
  <c r="AV68" i="5"/>
  <c r="AV71" i="5"/>
  <c r="AV188" i="5"/>
  <c r="AV312" i="5"/>
  <c r="AV327" i="5"/>
  <c r="AV383" i="5"/>
  <c r="AV391" i="5"/>
  <c r="AV392" i="5"/>
  <c r="AV413" i="5"/>
  <c r="AV439" i="5"/>
  <c r="AV451" i="5"/>
  <c r="AV453" i="5"/>
  <c r="AV470" i="5"/>
  <c r="AV495" i="5"/>
  <c r="AV520" i="5"/>
  <c r="AV548" i="5"/>
  <c r="AV199" i="5"/>
  <c r="AV464" i="5"/>
  <c r="AV552" i="5"/>
  <c r="AV30" i="5"/>
  <c r="AV114" i="5"/>
  <c r="AV117" i="5"/>
  <c r="AV281" i="5"/>
  <c r="AV355" i="5"/>
  <c r="AV318" i="5"/>
  <c r="AV347" i="5"/>
  <c r="AV369" i="5"/>
  <c r="AV370" i="5"/>
  <c r="AV379" i="5"/>
  <c r="AV419" i="5"/>
  <c r="AV399" i="5"/>
  <c r="AV377" i="5"/>
  <c r="AV403" i="5"/>
  <c r="AV411" i="5"/>
  <c r="AV455" i="5"/>
  <c r="AV461" i="5"/>
  <c r="AV500" i="5"/>
  <c r="AV513" i="5"/>
  <c r="AV519" i="5"/>
  <c r="AV340" i="5"/>
  <c r="AV352" i="5"/>
  <c r="AV511" i="5"/>
  <c r="AV288" i="5"/>
  <c r="AV331" i="5"/>
  <c r="AV351" i="5"/>
  <c r="AV395" i="5"/>
  <c r="AV424" i="5"/>
  <c r="AV388" i="5"/>
  <c r="AV397" i="5"/>
  <c r="AV421" i="5"/>
  <c r="AV438" i="5"/>
  <c r="AV427" i="5"/>
  <c r="AV465" i="5"/>
  <c r="AV441" i="5"/>
  <c r="AV456" i="5"/>
  <c r="AV459" i="5"/>
  <c r="AV501" i="5"/>
  <c r="AV503" i="5"/>
  <c r="AV530" i="5"/>
  <c r="AV296" i="5"/>
  <c r="AV61" i="5"/>
  <c r="AV62" i="5"/>
  <c r="AV170" i="5"/>
  <c r="AV145" i="5"/>
  <c r="AV200" i="5"/>
  <c r="AV319" i="5"/>
  <c r="AV332" i="5"/>
  <c r="AV339" i="5"/>
  <c r="AV396" i="5"/>
  <c r="AV402" i="5"/>
  <c r="AV400" i="5"/>
  <c r="AV477" i="5"/>
  <c r="AV472" i="5"/>
  <c r="AV467" i="5"/>
  <c r="AV499" i="5"/>
  <c r="AV507" i="5"/>
  <c r="AV514" i="5"/>
  <c r="AV521" i="5"/>
  <c r="AV549" i="5"/>
  <c r="AV559" i="5"/>
  <c r="AV274" i="5"/>
  <c r="AV364" i="5"/>
  <c r="AV416" i="5"/>
  <c r="AV543" i="5"/>
  <c r="BA33" i="5"/>
  <c r="AZ33" i="5"/>
  <c r="BA165" i="5"/>
  <c r="AZ165" i="5"/>
  <c r="BA91" i="5"/>
  <c r="AZ91" i="5"/>
  <c r="BA38" i="5"/>
  <c r="AZ38" i="5"/>
  <c r="BA384" i="5"/>
  <c r="AZ384" i="5"/>
  <c r="BA430" i="5"/>
  <c r="AZ430" i="5"/>
  <c r="AZ202" i="5"/>
  <c r="BA202" i="5"/>
  <c r="BA308" i="5"/>
  <c r="AZ308" i="5"/>
  <c r="BA409" i="5"/>
  <c r="AZ409" i="5"/>
  <c r="BA506" i="5"/>
  <c r="AZ506" i="5"/>
  <c r="BA213" i="5"/>
  <c r="AZ213" i="5"/>
  <c r="AZ366" i="5"/>
  <c r="BA366" i="5"/>
  <c r="BA547" i="5"/>
  <c r="AZ547" i="5"/>
  <c r="BA275" i="5"/>
  <c r="AZ275" i="5"/>
  <c r="BA431" i="5"/>
  <c r="AZ431" i="5"/>
  <c r="BA552" i="5"/>
  <c r="AZ552" i="5"/>
  <c r="BA333" i="5"/>
  <c r="AZ333" i="5"/>
  <c r="BA434" i="5"/>
  <c r="AZ434" i="5"/>
  <c r="BA291" i="5"/>
  <c r="AZ291" i="5"/>
  <c r="AZ457" i="5"/>
  <c r="BA457" i="5"/>
  <c r="AZ538" i="5"/>
  <c r="BA538" i="5"/>
  <c r="BA269" i="5"/>
  <c r="AZ269" i="5"/>
  <c r="AZ448" i="5"/>
  <c r="BA448" i="5"/>
  <c r="AZ510" i="5"/>
  <c r="BA510" i="5"/>
  <c r="BA273" i="5"/>
  <c r="AZ273" i="5"/>
  <c r="BA499" i="5"/>
  <c r="AZ499" i="5"/>
  <c r="AZ370" i="5"/>
  <c r="BA370" i="5"/>
  <c r="BA543" i="5"/>
  <c r="AZ543" i="5"/>
  <c r="BA334" i="5"/>
  <c r="AZ334" i="5"/>
  <c r="BA519" i="5"/>
  <c r="AZ519" i="5"/>
  <c r="AZ389" i="5"/>
  <c r="BA389" i="5"/>
  <c r="BA282" i="5"/>
  <c r="AZ282" i="5"/>
  <c r="BA501" i="5"/>
  <c r="AZ501" i="5"/>
  <c r="BA415" i="5"/>
  <c r="AZ415" i="5"/>
  <c r="AZ279" i="5"/>
  <c r="BA279" i="5"/>
  <c r="AZ481" i="5"/>
  <c r="BA481" i="5"/>
  <c r="AZ236" i="5"/>
  <c r="BA236" i="5"/>
  <c r="BA449" i="5"/>
  <c r="AZ449" i="5"/>
  <c r="BA164" i="5"/>
  <c r="AZ164" i="5"/>
  <c r="BA526" i="5"/>
  <c r="AZ526" i="5"/>
  <c r="BA440" i="5"/>
  <c r="AZ440" i="5"/>
  <c r="BA383" i="5"/>
  <c r="AZ383" i="5"/>
  <c r="BA59" i="5"/>
  <c r="AZ59" i="5"/>
  <c r="AZ496" i="5"/>
  <c r="BA496" i="5"/>
  <c r="BA410" i="5"/>
  <c r="AZ410" i="5"/>
  <c r="BA310" i="5"/>
  <c r="AZ310" i="5"/>
  <c r="BA200" i="5"/>
  <c r="AZ200" i="5"/>
  <c r="AZ187" i="5"/>
  <c r="BA187" i="5"/>
  <c r="BA83" i="5"/>
  <c r="AZ83" i="5"/>
  <c r="BA303" i="5"/>
  <c r="AZ303" i="5"/>
  <c r="AZ212" i="5"/>
  <c r="BA212" i="5"/>
  <c r="AZ32" i="5"/>
  <c r="BA32" i="5"/>
  <c r="AZ195" i="5"/>
  <c r="BA195" i="5"/>
  <c r="AZ206" i="5"/>
  <c r="BA206" i="5"/>
  <c r="BA216" i="5"/>
  <c r="AZ216" i="5"/>
  <c r="AZ109" i="5"/>
  <c r="BA109" i="5"/>
  <c r="AZ359" i="5"/>
  <c r="BA359" i="5"/>
  <c r="AZ178" i="5"/>
  <c r="BA178" i="5"/>
  <c r="AZ113" i="5"/>
  <c r="BA113" i="5"/>
  <c r="AZ193" i="5"/>
  <c r="BA193" i="5"/>
  <c r="BA198" i="5"/>
  <c r="AZ198" i="5"/>
  <c r="BA69" i="5"/>
  <c r="AZ69" i="5"/>
  <c r="BA274" i="5"/>
  <c r="AZ274" i="5"/>
  <c r="BA116" i="5"/>
  <c r="AZ116" i="5"/>
  <c r="AZ71" i="5"/>
  <c r="BA71" i="5"/>
  <c r="AZ79" i="5"/>
  <c r="BA79" i="5"/>
  <c r="AZ171" i="5"/>
  <c r="BA171" i="5"/>
  <c r="AZ52" i="5"/>
  <c r="BA52" i="5"/>
  <c r="BA39" i="5"/>
  <c r="AZ39" i="5"/>
  <c r="BA84" i="5"/>
  <c r="AZ84" i="5"/>
  <c r="BA25" i="5"/>
  <c r="AZ25" i="5"/>
  <c r="BA176" i="5"/>
  <c r="AZ176" i="5"/>
  <c r="AZ34" i="5"/>
  <c r="BA34" i="5"/>
  <c r="AZ194" i="5"/>
  <c r="BA194" i="5"/>
  <c r="AZ99" i="5"/>
  <c r="BA99" i="5"/>
  <c r="AZ87" i="5"/>
  <c r="BA87" i="5"/>
  <c r="BA210" i="5"/>
  <c r="AZ210" i="5"/>
  <c r="AZ456" i="5"/>
  <c r="BA456" i="5"/>
  <c r="BA250" i="5"/>
  <c r="AZ250" i="5"/>
  <c r="AZ321" i="5"/>
  <c r="BA321" i="5"/>
  <c r="AZ414" i="5"/>
  <c r="BA414" i="5"/>
  <c r="BA521" i="5"/>
  <c r="AZ521" i="5"/>
  <c r="BA217" i="5"/>
  <c r="AZ217" i="5"/>
  <c r="BA427" i="5"/>
  <c r="AZ427" i="5"/>
  <c r="AZ208" i="5"/>
  <c r="BA208" i="5"/>
  <c r="BA277" i="5"/>
  <c r="AZ277" i="5"/>
  <c r="BA436" i="5"/>
  <c r="AZ436" i="5"/>
  <c r="BA555" i="5"/>
  <c r="AZ555" i="5"/>
  <c r="BA336" i="5"/>
  <c r="AZ336" i="5"/>
  <c r="BA461" i="5"/>
  <c r="AZ461" i="5"/>
  <c r="AZ296" i="5"/>
  <c r="BA296" i="5"/>
  <c r="AZ458" i="5"/>
  <c r="BA458" i="5"/>
  <c r="BA546" i="5"/>
  <c r="AZ546" i="5"/>
  <c r="AZ276" i="5"/>
  <c r="BA276" i="5"/>
  <c r="AZ487" i="5"/>
  <c r="BA487" i="5"/>
  <c r="BA524" i="5"/>
  <c r="AZ524" i="5"/>
  <c r="BA364" i="5"/>
  <c r="AZ364" i="5"/>
  <c r="BA505" i="5"/>
  <c r="AZ505" i="5"/>
  <c r="BA419" i="5"/>
  <c r="AZ419" i="5"/>
  <c r="AZ245" i="5"/>
  <c r="BA245" i="5"/>
  <c r="AZ495" i="5"/>
  <c r="BA495" i="5"/>
  <c r="BA392" i="5"/>
  <c r="AZ392" i="5"/>
  <c r="BA520" i="5"/>
  <c r="AZ520" i="5"/>
  <c r="BA375" i="5"/>
  <c r="AZ375" i="5"/>
  <c r="BA418" i="5"/>
  <c r="AZ418" i="5"/>
  <c r="BA438" i="5"/>
  <c r="AZ438" i="5"/>
  <c r="BA155" i="5"/>
  <c r="AZ155" i="5"/>
  <c r="AZ502" i="5"/>
  <c r="BA502" i="5"/>
  <c r="BA423" i="5"/>
  <c r="AZ423" i="5"/>
  <c r="BA357" i="5"/>
  <c r="AZ357" i="5"/>
  <c r="BA463" i="5"/>
  <c r="AZ463" i="5"/>
  <c r="BA488" i="5"/>
  <c r="AZ488" i="5"/>
  <c r="AZ407" i="5"/>
  <c r="BA407" i="5"/>
  <c r="BA304" i="5"/>
  <c r="AZ304" i="5"/>
  <c r="BA223" i="5"/>
  <c r="AZ223" i="5"/>
  <c r="BA154" i="5"/>
  <c r="AZ154" i="5"/>
  <c r="AZ292" i="5"/>
  <c r="BA292" i="5"/>
  <c r="AZ300" i="5"/>
  <c r="BA300" i="5"/>
  <c r="AZ159" i="5"/>
  <c r="BA159" i="5"/>
  <c r="AZ43" i="5"/>
  <c r="BA43" i="5"/>
  <c r="BA185" i="5"/>
  <c r="AZ185" i="5"/>
  <c r="BA372" i="5"/>
  <c r="AZ372" i="5"/>
  <c r="AZ225" i="5"/>
  <c r="BA225" i="5"/>
  <c r="BA78" i="5"/>
  <c r="AZ78" i="5"/>
  <c r="AZ260" i="5"/>
  <c r="BA260" i="5"/>
  <c r="AZ183" i="5"/>
  <c r="BA183" i="5"/>
  <c r="BA53" i="5"/>
  <c r="AZ53" i="5"/>
  <c r="BA67" i="5"/>
  <c r="AZ67" i="5"/>
  <c r="BA182" i="5"/>
  <c r="AZ182" i="5"/>
  <c r="BA77" i="5"/>
  <c r="AZ77" i="5"/>
  <c r="BA251" i="5"/>
  <c r="AZ251" i="5"/>
  <c r="AZ133" i="5"/>
  <c r="BA133" i="5"/>
  <c r="BA57" i="5"/>
  <c r="AZ57" i="5"/>
  <c r="BA103" i="5"/>
  <c r="AZ103" i="5"/>
  <c r="AZ229" i="5"/>
  <c r="BA229" i="5"/>
  <c r="BA60" i="5"/>
  <c r="AZ60" i="5"/>
  <c r="BA131" i="5"/>
  <c r="AZ131" i="5"/>
  <c r="BA115" i="5"/>
  <c r="AZ115" i="5"/>
  <c r="BA23" i="5"/>
  <c r="AZ23" i="5"/>
  <c r="BA179" i="5"/>
  <c r="AZ179" i="5"/>
  <c r="BA46" i="5"/>
  <c r="AZ46" i="5"/>
  <c r="BA312" i="5"/>
  <c r="AZ312" i="5"/>
  <c r="BA123" i="5"/>
  <c r="AZ123" i="5"/>
  <c r="AZ101" i="5"/>
  <c r="BA101" i="5"/>
  <c r="AZ335" i="5"/>
  <c r="BA335" i="5"/>
  <c r="BA475" i="5"/>
  <c r="AZ475" i="5"/>
  <c r="AZ252" i="5"/>
  <c r="BA252" i="5"/>
  <c r="BA325" i="5"/>
  <c r="AZ325" i="5"/>
  <c r="BA428" i="5"/>
  <c r="AZ428" i="5"/>
  <c r="AZ523" i="5"/>
  <c r="BA523" i="5"/>
  <c r="AZ226" i="5"/>
  <c r="BA226" i="5"/>
  <c r="BA437" i="5"/>
  <c r="AZ437" i="5"/>
  <c r="BA221" i="5"/>
  <c r="AZ221" i="5"/>
  <c r="AZ305" i="5"/>
  <c r="BA305" i="5"/>
  <c r="BA442" i="5"/>
  <c r="AZ442" i="5"/>
  <c r="BA224" i="5"/>
  <c r="AZ224" i="5"/>
  <c r="BA344" i="5"/>
  <c r="AZ344" i="5"/>
  <c r="AZ489" i="5"/>
  <c r="BA489" i="5"/>
  <c r="BA320" i="5"/>
  <c r="AZ320" i="5"/>
  <c r="BA478" i="5"/>
  <c r="AZ478" i="5"/>
  <c r="BA196" i="5"/>
  <c r="AZ196" i="5"/>
  <c r="AZ299" i="5"/>
  <c r="BA299" i="5"/>
  <c r="BA514" i="5"/>
  <c r="AZ514" i="5"/>
  <c r="BA107" i="5"/>
  <c r="AZ107" i="5"/>
  <c r="BA480" i="5"/>
  <c r="AZ480" i="5"/>
  <c r="AZ388" i="5"/>
  <c r="BA388" i="5"/>
  <c r="BA395" i="5"/>
  <c r="AZ395" i="5"/>
  <c r="AZ399" i="5"/>
  <c r="BA399" i="5"/>
  <c r="AZ295" i="5"/>
  <c r="BA295" i="5"/>
  <c r="BA452" i="5"/>
  <c r="AZ452" i="5"/>
  <c r="BA553" i="5"/>
  <c r="AZ553" i="5"/>
  <c r="AZ500" i="5"/>
  <c r="BA500" i="5"/>
  <c r="AZ447" i="5"/>
  <c r="BA447" i="5"/>
  <c r="AZ374" i="5"/>
  <c r="BA374" i="5"/>
  <c r="BA404" i="5"/>
  <c r="AZ404" i="5"/>
  <c r="BA476" i="5"/>
  <c r="AZ476" i="5"/>
  <c r="BA386" i="5"/>
  <c r="AZ386" i="5"/>
  <c r="BA94" i="5"/>
  <c r="AZ94" i="5"/>
  <c r="AZ192" i="5"/>
  <c r="BA192" i="5"/>
  <c r="BA134" i="5"/>
  <c r="AZ134" i="5"/>
  <c r="BA257" i="5"/>
  <c r="AZ257" i="5"/>
  <c r="AZ267" i="5"/>
  <c r="BA267" i="5"/>
  <c r="BA132" i="5"/>
  <c r="AZ132" i="5"/>
  <c r="BA40" i="5"/>
  <c r="AZ40" i="5"/>
  <c r="BA151" i="5"/>
  <c r="AZ151" i="5"/>
  <c r="BA24" i="5"/>
  <c r="AZ24" i="5"/>
  <c r="BA136" i="5"/>
  <c r="AZ136" i="5"/>
  <c r="BA199" i="5"/>
  <c r="AZ199" i="5"/>
  <c r="AZ255" i="5"/>
  <c r="BA255" i="5"/>
  <c r="AZ162" i="5"/>
  <c r="BA162" i="5"/>
  <c r="BA37" i="5"/>
  <c r="AZ37" i="5"/>
  <c r="BA146" i="5"/>
  <c r="AZ146" i="5"/>
  <c r="BA153" i="5"/>
  <c r="AZ153" i="5"/>
  <c r="AZ96" i="5"/>
  <c r="BA96" i="5"/>
  <c r="AZ239" i="5"/>
  <c r="BA239" i="5"/>
  <c r="AZ88" i="5"/>
  <c r="BA88" i="5"/>
  <c r="BA102" i="5"/>
  <c r="AZ102" i="5"/>
  <c r="AZ111" i="5"/>
  <c r="BA111" i="5"/>
  <c r="BA86" i="5"/>
  <c r="AZ86" i="5"/>
  <c r="AZ73" i="5"/>
  <c r="BA73" i="5"/>
  <c r="BA30" i="5"/>
  <c r="AZ30" i="5"/>
  <c r="AZ125" i="5"/>
  <c r="BA125" i="5"/>
  <c r="AZ48" i="5"/>
  <c r="BA48" i="5"/>
  <c r="BA294" i="5"/>
  <c r="AZ294" i="5"/>
  <c r="BA54" i="5"/>
  <c r="AZ54" i="5"/>
  <c r="BA445" i="5"/>
  <c r="AZ445" i="5"/>
  <c r="AZ175" i="5"/>
  <c r="BA175" i="5"/>
  <c r="BA106" i="5"/>
  <c r="AZ106" i="5"/>
  <c r="AZ337" i="5"/>
  <c r="BA337" i="5"/>
  <c r="BA483" i="5"/>
  <c r="AZ483" i="5"/>
  <c r="BA258" i="5"/>
  <c r="AZ258" i="5"/>
  <c r="AZ343" i="5"/>
  <c r="BA343" i="5"/>
  <c r="BA432" i="5"/>
  <c r="AZ432" i="5"/>
  <c r="BA545" i="5"/>
  <c r="AZ545" i="5"/>
  <c r="AZ280" i="5"/>
  <c r="BA280" i="5"/>
  <c r="AZ466" i="5"/>
  <c r="BA466" i="5"/>
  <c r="BA243" i="5"/>
  <c r="AZ243" i="5"/>
  <c r="BA313" i="5"/>
  <c r="AZ313" i="5"/>
  <c r="BA482" i="5"/>
  <c r="AZ482" i="5"/>
  <c r="BA238" i="5"/>
  <c r="AZ238" i="5"/>
  <c r="BA390" i="5"/>
  <c r="AZ390" i="5"/>
  <c r="BA498" i="5"/>
  <c r="AZ498" i="5"/>
  <c r="AZ341" i="5"/>
  <c r="BA341" i="5"/>
  <c r="BA492" i="5"/>
  <c r="AZ492" i="5"/>
  <c r="BA197" i="5"/>
  <c r="AZ197" i="5"/>
  <c r="BA309" i="5"/>
  <c r="AZ309" i="5"/>
  <c r="BA528" i="5"/>
  <c r="AZ528" i="5"/>
  <c r="AZ451" i="5"/>
  <c r="BA451" i="5"/>
  <c r="AZ82" i="5"/>
  <c r="BA82" i="5"/>
  <c r="BA462" i="5"/>
  <c r="AZ462" i="5"/>
  <c r="AZ347" i="5"/>
  <c r="BA347" i="5"/>
  <c r="BA444" i="5"/>
  <c r="AZ444" i="5"/>
  <c r="AZ484" i="5"/>
  <c r="BA484" i="5"/>
  <c r="BA402" i="5"/>
  <c r="AZ402" i="5"/>
  <c r="BA124" i="5"/>
  <c r="AZ124" i="5"/>
  <c r="BA385" i="5"/>
  <c r="AZ385" i="5"/>
  <c r="AZ548" i="5"/>
  <c r="BA548" i="5"/>
  <c r="BA412" i="5"/>
  <c r="AZ412" i="5"/>
  <c r="BA493" i="5"/>
  <c r="AZ493" i="5"/>
  <c r="BA470" i="5"/>
  <c r="AZ470" i="5"/>
  <c r="BA397" i="5"/>
  <c r="AZ397" i="5"/>
  <c r="BA314" i="5"/>
  <c r="AZ314" i="5"/>
  <c r="AZ559" i="5"/>
  <c r="BA559" i="5"/>
  <c r="BA471" i="5"/>
  <c r="AZ471" i="5"/>
  <c r="AZ380" i="5"/>
  <c r="BA380" i="5"/>
  <c r="BA332" i="5"/>
  <c r="AZ332" i="5"/>
  <c r="AZ167" i="5"/>
  <c r="BA167" i="5"/>
  <c r="AZ104" i="5"/>
  <c r="BA104" i="5"/>
  <c r="AZ253" i="5"/>
  <c r="BA253" i="5"/>
  <c r="AZ284" i="5"/>
  <c r="BA284" i="5"/>
  <c r="BA105" i="5"/>
  <c r="AZ105" i="5"/>
  <c r="AZ301" i="5"/>
  <c r="BA301" i="5"/>
  <c r="BA186" i="5"/>
  <c r="AZ186" i="5"/>
  <c r="AZ27" i="5"/>
  <c r="BA27" i="5"/>
  <c r="BA147" i="5"/>
  <c r="AZ147" i="5"/>
  <c r="BA228" i="5"/>
  <c r="AZ228" i="5"/>
  <c r="BA265" i="5"/>
  <c r="AZ265" i="5"/>
  <c r="BA174" i="5"/>
  <c r="AZ174" i="5"/>
  <c r="BA21" i="5"/>
  <c r="AZ21" i="5"/>
  <c r="BA172" i="5"/>
  <c r="AZ172" i="5"/>
  <c r="BA120" i="5"/>
  <c r="AZ120" i="5"/>
  <c r="AZ222" i="5"/>
  <c r="BA222" i="5"/>
  <c r="AZ240" i="5"/>
  <c r="BA240" i="5"/>
  <c r="BA72" i="5"/>
  <c r="AZ72" i="5"/>
  <c r="AZ19" i="5"/>
  <c r="BA19" i="5"/>
  <c r="BA114" i="5"/>
  <c r="AZ114" i="5"/>
  <c r="BA119" i="5"/>
  <c r="AZ119" i="5"/>
  <c r="BA81" i="5"/>
  <c r="AZ81" i="5"/>
  <c r="BA36" i="5"/>
  <c r="AZ36" i="5"/>
  <c r="BA152" i="5"/>
  <c r="AZ152" i="5"/>
  <c r="AZ56" i="5"/>
  <c r="BA56" i="5"/>
  <c r="BA473" i="5"/>
  <c r="AZ473" i="5"/>
  <c r="BA62" i="5"/>
  <c r="AZ62" i="5"/>
  <c r="AZ453" i="5"/>
  <c r="BA453" i="5"/>
  <c r="BA406" i="5"/>
  <c r="AZ406" i="5"/>
  <c r="BA160" i="5"/>
  <c r="AZ160" i="5"/>
  <c r="AZ345" i="5"/>
  <c r="BA345" i="5"/>
  <c r="BA512" i="5"/>
  <c r="AZ512" i="5"/>
  <c r="BA266" i="5"/>
  <c r="AZ266" i="5"/>
  <c r="BA350" i="5"/>
  <c r="AZ350" i="5"/>
  <c r="BA450" i="5"/>
  <c r="AZ450" i="5"/>
  <c r="BA556" i="5"/>
  <c r="AZ556" i="5"/>
  <c r="AZ293" i="5"/>
  <c r="BA293" i="5"/>
  <c r="BA479" i="5"/>
  <c r="AZ479" i="5"/>
  <c r="BA248" i="5"/>
  <c r="AZ248" i="5"/>
  <c r="BA360" i="5"/>
  <c r="AZ360" i="5"/>
  <c r="BA511" i="5"/>
  <c r="AZ511" i="5"/>
  <c r="BA241" i="5"/>
  <c r="AZ241" i="5"/>
  <c r="AZ408" i="5"/>
  <c r="BA408" i="5"/>
  <c r="BA509" i="5"/>
  <c r="AZ509" i="5"/>
  <c r="BA353" i="5"/>
  <c r="AZ353" i="5"/>
  <c r="AZ507" i="5"/>
  <c r="BA507" i="5"/>
  <c r="AZ218" i="5"/>
  <c r="BA218" i="5"/>
  <c r="AZ327" i="5"/>
  <c r="BA327" i="5"/>
  <c r="AZ544" i="5"/>
  <c r="BA544" i="5"/>
  <c r="BA403" i="5"/>
  <c r="AZ403" i="5"/>
  <c r="BA474" i="5"/>
  <c r="AZ474" i="5"/>
  <c r="BA469" i="5"/>
  <c r="AZ469" i="5"/>
  <c r="BA351" i="5"/>
  <c r="AZ351" i="5"/>
  <c r="AZ400" i="5"/>
  <c r="BA400" i="5"/>
  <c r="BA467" i="5"/>
  <c r="AZ467" i="5"/>
  <c r="BA330" i="5"/>
  <c r="AZ330" i="5"/>
  <c r="BA551" i="5"/>
  <c r="AZ551" i="5"/>
  <c r="BA322" i="5"/>
  <c r="AZ322" i="5"/>
  <c r="BA541" i="5"/>
  <c r="AZ541" i="5"/>
  <c r="BA378" i="5"/>
  <c r="AZ378" i="5"/>
  <c r="BA426" i="5"/>
  <c r="AZ426" i="5"/>
  <c r="AZ485" i="5"/>
  <c r="BA485" i="5"/>
  <c r="BA393" i="5"/>
  <c r="AZ393" i="5"/>
  <c r="BA285" i="5"/>
  <c r="AZ285" i="5"/>
  <c r="BA557" i="5"/>
  <c r="AZ557" i="5"/>
  <c r="BA490" i="5"/>
  <c r="AZ490" i="5"/>
  <c r="BA373" i="5"/>
  <c r="AZ373" i="5"/>
  <c r="BA233" i="5"/>
  <c r="AZ233" i="5"/>
  <c r="BA180" i="5"/>
  <c r="AZ180" i="5"/>
  <c r="BA76" i="5"/>
  <c r="AZ76" i="5"/>
  <c r="BA454" i="5"/>
  <c r="AZ454" i="5"/>
  <c r="BA219" i="5"/>
  <c r="AZ219" i="5"/>
  <c r="BA85" i="5"/>
  <c r="AZ85" i="5"/>
  <c r="BA259" i="5"/>
  <c r="AZ259" i="5"/>
  <c r="AZ166" i="5"/>
  <c r="BA166" i="5"/>
  <c r="BA283" i="5"/>
  <c r="AZ283" i="5"/>
  <c r="BA100" i="5"/>
  <c r="AZ100" i="5"/>
  <c r="BA130" i="5"/>
  <c r="AZ130" i="5"/>
  <c r="BA244" i="5"/>
  <c r="AZ244" i="5"/>
  <c r="AZ158" i="5"/>
  <c r="BA158" i="5"/>
  <c r="AZ75" i="5"/>
  <c r="BA75" i="5"/>
  <c r="BA289" i="5"/>
  <c r="AZ289" i="5"/>
  <c r="AZ129" i="5"/>
  <c r="BA129" i="5"/>
  <c r="BA394" i="5"/>
  <c r="AZ394" i="5"/>
  <c r="BA201" i="5"/>
  <c r="AZ201" i="5"/>
  <c r="BA339" i="5"/>
  <c r="AZ339" i="5"/>
  <c r="BA47" i="5"/>
  <c r="AZ47" i="5"/>
  <c r="BA127" i="5"/>
  <c r="AZ127" i="5"/>
  <c r="BA181" i="5"/>
  <c r="AZ181" i="5"/>
  <c r="BA89" i="5"/>
  <c r="AZ89" i="5"/>
  <c r="AZ42" i="5"/>
  <c r="BA42" i="5"/>
  <c r="BA254" i="5"/>
  <c r="AZ254" i="5"/>
  <c r="AZ64" i="5"/>
  <c r="BA64" i="5"/>
  <c r="BA41" i="5"/>
  <c r="AZ41" i="5"/>
  <c r="BA108" i="5"/>
  <c r="AZ108" i="5"/>
  <c r="AZ93" i="5"/>
  <c r="BA93" i="5"/>
  <c r="BA49" i="5"/>
  <c r="AZ49" i="5"/>
  <c r="BA173" i="5"/>
  <c r="AZ173" i="5"/>
  <c r="BA363" i="5"/>
  <c r="AZ363" i="5"/>
  <c r="AZ517" i="5"/>
  <c r="BA517" i="5"/>
  <c r="BA272" i="5"/>
  <c r="AZ272" i="5"/>
  <c r="BA368" i="5"/>
  <c r="AZ368" i="5"/>
  <c r="BA468" i="5"/>
  <c r="AZ468" i="5"/>
  <c r="AZ560" i="5"/>
  <c r="BA560" i="5"/>
  <c r="BA298" i="5"/>
  <c r="AZ298" i="5"/>
  <c r="AZ491" i="5"/>
  <c r="BA491" i="5"/>
  <c r="AZ264" i="5"/>
  <c r="BA264" i="5"/>
  <c r="BA361" i="5"/>
  <c r="AZ361" i="5"/>
  <c r="BA513" i="5"/>
  <c r="AZ513" i="5"/>
  <c r="BA262" i="5"/>
  <c r="AZ262" i="5"/>
  <c r="BA420" i="5"/>
  <c r="AZ420" i="5"/>
  <c r="BA525" i="5"/>
  <c r="AZ525" i="5"/>
  <c r="BA356" i="5"/>
  <c r="AZ356" i="5"/>
  <c r="AZ522" i="5"/>
  <c r="BA522" i="5"/>
  <c r="AZ230" i="5"/>
  <c r="BA230" i="5"/>
  <c r="BA348" i="5"/>
  <c r="AZ348" i="5"/>
  <c r="BA424" i="5"/>
  <c r="AZ424" i="5"/>
  <c r="BA377" i="5"/>
  <c r="AZ377" i="5"/>
  <c r="AZ472" i="5"/>
  <c r="BA472" i="5"/>
  <c r="BA338" i="5"/>
  <c r="AZ338" i="5"/>
  <c r="BA558" i="5"/>
  <c r="AZ558" i="5"/>
  <c r="BA459" i="5"/>
  <c r="AZ459" i="5"/>
  <c r="AZ331" i="5"/>
  <c r="BA331" i="5"/>
  <c r="AZ554" i="5"/>
  <c r="BA554" i="5"/>
  <c r="BA342" i="5"/>
  <c r="AZ342" i="5"/>
  <c r="BA527" i="5"/>
  <c r="AZ527" i="5"/>
  <c r="BA391" i="5"/>
  <c r="AZ391" i="5"/>
  <c r="AZ307" i="5"/>
  <c r="BA307" i="5"/>
  <c r="BA455" i="5"/>
  <c r="AZ455" i="5"/>
  <c r="BA381" i="5"/>
  <c r="AZ381" i="5"/>
  <c r="BA271" i="5"/>
  <c r="AZ271" i="5"/>
  <c r="BA540" i="5"/>
  <c r="AZ540" i="5"/>
  <c r="AZ443" i="5"/>
  <c r="BA443" i="5"/>
  <c r="AZ396" i="5"/>
  <c r="BA396" i="5"/>
  <c r="BA227" i="5"/>
  <c r="AZ227" i="5"/>
  <c r="BA156" i="5"/>
  <c r="AZ156" i="5"/>
  <c r="BA61" i="5"/>
  <c r="AZ61" i="5"/>
  <c r="AZ35" i="5"/>
  <c r="BA35" i="5"/>
  <c r="BA247" i="5"/>
  <c r="AZ247" i="5"/>
  <c r="BA209" i="5"/>
  <c r="AZ209" i="5"/>
  <c r="AZ235" i="5"/>
  <c r="BA235" i="5"/>
  <c r="BA138" i="5"/>
  <c r="AZ138" i="5"/>
  <c r="AZ263" i="5"/>
  <c r="BA263" i="5"/>
  <c r="BA92" i="5"/>
  <c r="AZ92" i="5"/>
  <c r="BA141" i="5"/>
  <c r="AZ141" i="5"/>
  <c r="BA234" i="5"/>
  <c r="AZ234" i="5"/>
  <c r="BA128" i="5"/>
  <c r="AZ128" i="5"/>
  <c r="BA242" i="5"/>
  <c r="AZ242" i="5"/>
  <c r="AZ211" i="5"/>
  <c r="BA211" i="5"/>
  <c r="BA110" i="5"/>
  <c r="AZ110" i="5"/>
  <c r="BA340" i="5"/>
  <c r="AZ340" i="5"/>
  <c r="AZ145" i="5"/>
  <c r="BA145" i="5"/>
  <c r="BA324" i="5"/>
  <c r="AZ324" i="5"/>
  <c r="BA55" i="5"/>
  <c r="AZ55" i="5"/>
  <c r="BA149" i="5"/>
  <c r="AZ149" i="5"/>
  <c r="AZ22" i="5"/>
  <c r="BA22" i="5"/>
  <c r="AZ95" i="5"/>
  <c r="BA95" i="5"/>
  <c r="AZ50" i="5"/>
  <c r="BA50" i="5"/>
  <c r="AZ286" i="5"/>
  <c r="BA286" i="5"/>
  <c r="BA70" i="5"/>
  <c r="AZ70" i="5"/>
  <c r="AZ117" i="5"/>
  <c r="BA117" i="5"/>
  <c r="BA118" i="5"/>
  <c r="AZ118" i="5"/>
  <c r="BA157" i="5"/>
  <c r="AZ157" i="5"/>
  <c r="BA139" i="5"/>
  <c r="AZ139" i="5"/>
  <c r="BA237" i="5"/>
  <c r="AZ237" i="5"/>
  <c r="BA382" i="5"/>
  <c r="AZ382" i="5"/>
  <c r="AZ549" i="5"/>
  <c r="BA549" i="5"/>
  <c r="AZ278" i="5"/>
  <c r="BA278" i="5"/>
  <c r="BA387" i="5"/>
  <c r="AZ387" i="5"/>
  <c r="AZ486" i="5"/>
  <c r="BA486" i="5"/>
  <c r="BA184" i="5"/>
  <c r="AZ184" i="5"/>
  <c r="BA316" i="5"/>
  <c r="AZ316" i="5"/>
  <c r="AZ536" i="5"/>
  <c r="BA536" i="5"/>
  <c r="AZ268" i="5"/>
  <c r="BA268" i="5"/>
  <c r="BA376" i="5"/>
  <c r="AZ376" i="5"/>
  <c r="AZ515" i="5"/>
  <c r="BA515" i="5"/>
  <c r="AZ311" i="5"/>
  <c r="BA311" i="5"/>
  <c r="BA422" i="5"/>
  <c r="AZ422" i="5"/>
  <c r="AZ529" i="5"/>
  <c r="BA529" i="5"/>
  <c r="AZ365" i="5"/>
  <c r="BA365" i="5"/>
  <c r="BA532" i="5"/>
  <c r="AZ532" i="5"/>
  <c r="BA246" i="5"/>
  <c r="AZ246" i="5"/>
  <c r="AZ358" i="5"/>
  <c r="BA358" i="5"/>
  <c r="AZ477" i="5"/>
  <c r="BA477" i="5"/>
  <c r="BA429" i="5"/>
  <c r="AZ429" i="5"/>
  <c r="BA232" i="5"/>
  <c r="AZ232" i="5"/>
  <c r="BA413" i="5"/>
  <c r="AZ413" i="5"/>
  <c r="BA318" i="5"/>
  <c r="AZ318" i="5"/>
  <c r="AZ530" i="5"/>
  <c r="BA530" i="5"/>
  <c r="BA465" i="5"/>
  <c r="AZ465" i="5"/>
  <c r="BA326" i="5"/>
  <c r="AZ326" i="5"/>
  <c r="BA518" i="5"/>
  <c r="AZ518" i="5"/>
  <c r="AZ354" i="5"/>
  <c r="BA354" i="5"/>
  <c r="BA531" i="5"/>
  <c r="AZ531" i="5"/>
  <c r="BA369" i="5"/>
  <c r="AZ369" i="5"/>
  <c r="BA539" i="5"/>
  <c r="AZ539" i="5"/>
  <c r="BA464" i="5"/>
  <c r="AZ464" i="5"/>
  <c r="BA371" i="5"/>
  <c r="AZ371" i="5"/>
  <c r="BA169" i="5"/>
  <c r="AZ169" i="5"/>
  <c r="BA537" i="5"/>
  <c r="AZ537" i="5"/>
  <c r="BA439" i="5"/>
  <c r="AZ439" i="5"/>
  <c r="BA362" i="5"/>
  <c r="AZ362" i="5"/>
  <c r="BA231" i="5"/>
  <c r="AZ231" i="5"/>
  <c r="BA143" i="5"/>
  <c r="AZ143" i="5"/>
  <c r="BA45" i="5"/>
  <c r="AZ45" i="5"/>
  <c r="BA122" i="5"/>
  <c r="AZ122" i="5"/>
  <c r="BA190" i="5"/>
  <c r="AZ190" i="5"/>
  <c r="AZ214" i="5"/>
  <c r="BA214" i="5"/>
  <c r="AZ215" i="5"/>
  <c r="BA215" i="5"/>
  <c r="AZ121" i="5"/>
  <c r="BA121" i="5"/>
  <c r="AZ256" i="5"/>
  <c r="BA256" i="5"/>
  <c r="BA74" i="5"/>
  <c r="AZ74" i="5"/>
  <c r="BA290" i="5"/>
  <c r="AZ290" i="5"/>
  <c r="AZ191" i="5"/>
  <c r="BA191" i="5"/>
  <c r="BA126" i="5"/>
  <c r="AZ126" i="5"/>
  <c r="BA460" i="5"/>
  <c r="AZ460" i="5"/>
  <c r="AZ220" i="5"/>
  <c r="BA220" i="5"/>
  <c r="BA97" i="5"/>
  <c r="AZ97" i="5"/>
  <c r="AZ323" i="5"/>
  <c r="BA323" i="5"/>
  <c r="AZ150" i="5"/>
  <c r="BA150" i="5"/>
  <c r="AZ346" i="5"/>
  <c r="BA346" i="5"/>
  <c r="BA63" i="5"/>
  <c r="AZ63" i="5"/>
  <c r="BA163" i="5"/>
  <c r="AZ163" i="5"/>
  <c r="AZ26" i="5"/>
  <c r="BA26" i="5"/>
  <c r="AZ142" i="5"/>
  <c r="BA142" i="5"/>
  <c r="AZ58" i="5"/>
  <c r="BA58" i="5"/>
  <c r="AZ315" i="5"/>
  <c r="BA315" i="5"/>
  <c r="BA98" i="5"/>
  <c r="AZ98" i="5"/>
  <c r="AZ20" i="5"/>
  <c r="BA20" i="5"/>
  <c r="BA135" i="5"/>
  <c r="AZ135" i="5"/>
  <c r="BA31" i="5"/>
  <c r="AZ31" i="5"/>
  <c r="BA28" i="5"/>
  <c r="AZ28" i="5"/>
  <c r="BA317" i="5"/>
  <c r="AZ317" i="5"/>
  <c r="BA405" i="5"/>
  <c r="AZ405" i="5"/>
  <c r="BA189" i="5"/>
  <c r="AZ189" i="5"/>
  <c r="BA302" i="5"/>
  <c r="AZ302" i="5"/>
  <c r="BA398" i="5"/>
  <c r="AZ398" i="5"/>
  <c r="BA503" i="5"/>
  <c r="AZ503" i="5"/>
  <c r="BA205" i="5"/>
  <c r="AZ205" i="5"/>
  <c r="BA349" i="5"/>
  <c r="AZ349" i="5"/>
  <c r="BA542" i="5"/>
  <c r="AZ542" i="5"/>
  <c r="AZ270" i="5"/>
  <c r="BA270" i="5"/>
  <c r="BA417" i="5"/>
  <c r="AZ417" i="5"/>
  <c r="BA550" i="5"/>
  <c r="AZ550" i="5"/>
  <c r="AZ329" i="5"/>
  <c r="BA329" i="5"/>
  <c r="BA433" i="5"/>
  <c r="AZ433" i="5"/>
  <c r="BA288" i="5"/>
  <c r="AZ288" i="5"/>
  <c r="AZ441" i="5"/>
  <c r="BA441" i="5"/>
  <c r="BA535" i="5"/>
  <c r="AZ535" i="5"/>
  <c r="BA261" i="5"/>
  <c r="AZ261" i="5"/>
  <c r="BA425" i="5"/>
  <c r="AZ425" i="5"/>
  <c r="AZ8" i="5"/>
  <c r="BA8" i="5"/>
  <c r="BA7" i="5"/>
  <c r="AZ7" i="5"/>
  <c r="N13" i="5"/>
  <c r="AV8" i="5"/>
  <c r="AV7" i="5"/>
  <c r="AV12" i="5"/>
  <c r="B189" i="3"/>
  <c r="C190" i="3" s="1"/>
  <c r="B190" i="3" s="1"/>
  <c r="I74" i="2" s="1"/>
  <c r="C192" i="3"/>
  <c r="C191" i="3" s="1"/>
  <c r="AS13" i="5" l="1"/>
  <c r="AY13" i="5"/>
  <c r="AT486" i="5"/>
  <c r="AU486" i="5"/>
  <c r="AU244" i="5"/>
  <c r="AT244" i="5"/>
  <c r="AU29" i="5"/>
  <c r="AT29" i="5"/>
  <c r="AU340" i="5"/>
  <c r="AT340" i="5"/>
  <c r="AU85" i="5"/>
  <c r="AT85" i="5"/>
  <c r="AU54" i="5"/>
  <c r="AT54" i="5"/>
  <c r="AU413" i="5"/>
  <c r="AT413" i="5"/>
  <c r="AT513" i="5"/>
  <c r="AU513" i="5"/>
  <c r="AU259" i="5"/>
  <c r="AT259" i="5"/>
  <c r="AU535" i="5"/>
  <c r="AT535" i="5"/>
  <c r="AU508" i="5"/>
  <c r="AT508" i="5"/>
  <c r="AU393" i="5"/>
  <c r="AT393" i="5"/>
  <c r="AT236" i="5"/>
  <c r="AU236" i="5"/>
  <c r="AT53" i="5"/>
  <c r="AU53" i="5"/>
  <c r="AU521" i="5"/>
  <c r="AT521" i="5"/>
  <c r="AT382" i="5"/>
  <c r="AU382" i="5"/>
  <c r="AU234" i="5"/>
  <c r="AT234" i="5"/>
  <c r="AT121" i="5"/>
  <c r="AU121" i="5"/>
  <c r="AT98" i="5"/>
  <c r="AU98" i="5"/>
  <c r="AU519" i="5"/>
  <c r="AT519" i="5"/>
  <c r="AU417" i="5"/>
  <c r="AT417" i="5"/>
  <c r="AU260" i="5"/>
  <c r="AT260" i="5"/>
  <c r="AU164" i="5"/>
  <c r="AT164" i="5"/>
  <c r="AT432" i="5"/>
  <c r="AU432" i="5"/>
  <c r="AT470" i="5"/>
  <c r="AU470" i="5"/>
  <c r="AU306" i="5"/>
  <c r="AT306" i="5"/>
  <c r="AU215" i="5"/>
  <c r="AT215" i="5"/>
  <c r="AT43" i="5"/>
  <c r="AU43" i="5"/>
  <c r="AU533" i="5"/>
  <c r="AT533" i="5"/>
  <c r="AU289" i="5"/>
  <c r="AT289" i="5"/>
  <c r="AU187" i="5"/>
  <c r="AT187" i="5"/>
  <c r="AU520" i="5"/>
  <c r="AT520" i="5"/>
  <c r="AT437" i="5"/>
  <c r="AU437" i="5"/>
  <c r="AU311" i="5"/>
  <c r="AT311" i="5"/>
  <c r="AT123" i="5"/>
  <c r="AU123" i="5"/>
  <c r="AU35" i="5"/>
  <c r="AT35" i="5"/>
  <c r="AT542" i="5"/>
  <c r="AU542" i="5"/>
  <c r="AT379" i="5"/>
  <c r="AU379" i="5"/>
  <c r="AU190" i="5"/>
  <c r="AT190" i="5"/>
  <c r="AU91" i="5"/>
  <c r="AT91" i="5"/>
  <c r="AU61" i="5"/>
  <c r="AT61" i="5"/>
  <c r="AU181" i="5"/>
  <c r="AT181" i="5"/>
  <c r="AU197" i="5"/>
  <c r="AT197" i="5"/>
  <c r="AU86" i="5"/>
  <c r="AT86" i="5"/>
  <c r="AU277" i="5"/>
  <c r="AT277" i="5"/>
  <c r="AU524" i="5"/>
  <c r="AT524" i="5"/>
  <c r="AU36" i="5"/>
  <c r="AT36" i="5"/>
  <c r="AU74" i="5"/>
  <c r="AT74" i="5"/>
  <c r="AU168" i="5"/>
  <c r="AT168" i="5"/>
  <c r="AT280" i="5"/>
  <c r="AU280" i="5"/>
  <c r="AU403" i="5"/>
  <c r="AT403" i="5"/>
  <c r="AU489" i="5"/>
  <c r="AT489" i="5"/>
  <c r="AT487" i="5"/>
  <c r="AU487" i="5"/>
  <c r="AT46" i="5"/>
  <c r="AU46" i="5"/>
  <c r="AU239" i="5"/>
  <c r="AT239" i="5"/>
  <c r="AT376" i="5"/>
  <c r="AU376" i="5"/>
  <c r="AU498" i="5"/>
  <c r="AT498" i="5"/>
  <c r="AT89" i="5"/>
  <c r="AU89" i="5"/>
  <c r="AU34" i="5"/>
  <c r="AT34" i="5"/>
  <c r="AU135" i="5"/>
  <c r="AT135" i="5"/>
  <c r="AT227" i="5"/>
  <c r="AU227" i="5"/>
  <c r="AU329" i="5"/>
  <c r="AT329" i="5"/>
  <c r="AU443" i="5"/>
  <c r="AT443" i="5"/>
  <c r="AT538" i="5"/>
  <c r="AU538" i="5"/>
  <c r="AU49" i="5"/>
  <c r="AT49" i="5"/>
  <c r="AU26" i="5"/>
  <c r="AT26" i="5"/>
  <c r="AU169" i="5"/>
  <c r="AT169" i="5"/>
  <c r="AU325" i="5"/>
  <c r="AT325" i="5"/>
  <c r="AU449" i="5"/>
  <c r="AT449" i="5"/>
  <c r="AU271" i="5"/>
  <c r="AT271" i="5"/>
  <c r="AU483" i="5"/>
  <c r="AT483" i="5"/>
  <c r="AU81" i="5"/>
  <c r="AT81" i="5"/>
  <c r="AU220" i="5"/>
  <c r="AT220" i="5"/>
  <c r="AU430" i="5"/>
  <c r="AT430" i="5"/>
  <c r="AU407" i="5"/>
  <c r="AT407" i="5"/>
  <c r="AU545" i="5"/>
  <c r="AT545" i="5"/>
  <c r="AU82" i="5"/>
  <c r="AT82" i="5"/>
  <c r="AU67" i="5"/>
  <c r="AT67" i="5"/>
  <c r="AT151" i="5"/>
  <c r="AU151" i="5"/>
  <c r="AU160" i="5"/>
  <c r="AT160" i="5"/>
  <c r="AU436" i="5"/>
  <c r="AT436" i="5"/>
  <c r="AU504" i="5"/>
  <c r="AT504" i="5"/>
  <c r="AU222" i="5"/>
  <c r="AT222" i="5"/>
  <c r="AU534" i="5"/>
  <c r="AT534" i="5"/>
  <c r="AU161" i="5"/>
  <c r="AT161" i="5"/>
  <c r="AT400" i="5"/>
  <c r="AU400" i="5"/>
  <c r="AU424" i="5"/>
  <c r="AT424" i="5"/>
  <c r="AT511" i="5"/>
  <c r="AU511" i="5"/>
  <c r="AU47" i="5"/>
  <c r="AT47" i="5"/>
  <c r="AT299" i="5"/>
  <c r="AU299" i="5"/>
  <c r="AT495" i="5"/>
  <c r="AU495" i="5"/>
  <c r="AU332" i="5"/>
  <c r="AT332" i="5"/>
  <c r="AU216" i="5"/>
  <c r="AT216" i="5"/>
  <c r="AU166" i="5"/>
  <c r="AT166" i="5"/>
  <c r="AU482" i="5"/>
  <c r="AT482" i="5"/>
  <c r="AT369" i="5"/>
  <c r="AU369" i="5"/>
  <c r="AU203" i="5"/>
  <c r="AT203" i="5"/>
  <c r="AU78" i="5"/>
  <c r="AT78" i="5"/>
  <c r="AU84" i="5"/>
  <c r="AT84" i="5"/>
  <c r="AU514" i="5"/>
  <c r="AT514" i="5"/>
  <c r="AT452" i="5"/>
  <c r="AU452" i="5"/>
  <c r="AT252" i="5"/>
  <c r="AU252" i="5"/>
  <c r="AT146" i="5"/>
  <c r="AU146" i="5"/>
  <c r="AT45" i="5"/>
  <c r="AU45" i="5"/>
  <c r="AU461" i="5"/>
  <c r="AT461" i="5"/>
  <c r="AU324" i="5"/>
  <c r="AT324" i="5"/>
  <c r="AU163" i="5"/>
  <c r="AT163" i="5"/>
  <c r="AT378" i="5"/>
  <c r="AU378" i="5"/>
  <c r="AU492" i="5"/>
  <c r="AT492" i="5"/>
  <c r="AU281" i="5"/>
  <c r="AT281" i="5"/>
  <c r="AU145" i="5"/>
  <c r="AT145" i="5"/>
  <c r="AT371" i="5"/>
  <c r="AU371" i="5"/>
  <c r="AU435" i="5"/>
  <c r="AT435" i="5"/>
  <c r="AU326" i="5"/>
  <c r="AT326" i="5"/>
  <c r="AU133" i="5"/>
  <c r="AT133" i="5"/>
  <c r="AT196" i="5"/>
  <c r="AU196" i="5"/>
  <c r="AT527" i="5"/>
  <c r="AU527" i="5"/>
  <c r="AU363" i="5"/>
  <c r="AT363" i="5"/>
  <c r="AT186" i="5"/>
  <c r="AU186" i="5"/>
  <c r="AU109" i="5"/>
  <c r="AT109" i="5"/>
  <c r="AU40" i="5"/>
  <c r="AT40" i="5"/>
  <c r="AT279" i="5"/>
  <c r="AU279" i="5"/>
  <c r="AU345" i="5"/>
  <c r="AT345" i="5"/>
  <c r="AT148" i="5"/>
  <c r="AU148" i="5"/>
  <c r="AT323" i="5"/>
  <c r="AU323" i="5"/>
  <c r="AU537" i="5"/>
  <c r="AT537" i="5"/>
  <c r="AU112" i="5"/>
  <c r="AT112" i="5"/>
  <c r="AT83" i="5"/>
  <c r="AU83" i="5"/>
  <c r="AT177" i="5"/>
  <c r="AU177" i="5"/>
  <c r="AU294" i="5"/>
  <c r="AT294" i="5"/>
  <c r="AT406" i="5"/>
  <c r="AU406" i="5"/>
  <c r="AU506" i="5"/>
  <c r="AT506" i="5"/>
  <c r="AT536" i="5"/>
  <c r="AU536" i="5"/>
  <c r="AU79" i="5"/>
  <c r="AT79" i="5"/>
  <c r="AU251" i="5"/>
  <c r="AT251" i="5"/>
  <c r="AU381" i="5"/>
  <c r="AT381" i="5"/>
  <c r="AT502" i="5"/>
  <c r="AU502" i="5"/>
  <c r="AU117" i="5"/>
  <c r="AT117" i="5"/>
  <c r="AU38" i="5"/>
  <c r="AT38" i="5"/>
  <c r="AU157" i="5"/>
  <c r="AT157" i="5"/>
  <c r="AU230" i="5"/>
  <c r="AT230" i="5"/>
  <c r="AU347" i="5"/>
  <c r="AT347" i="5"/>
  <c r="AU465" i="5"/>
  <c r="AT465" i="5"/>
  <c r="AU167" i="5"/>
  <c r="AT167" i="5"/>
  <c r="AU71" i="5"/>
  <c r="AT71" i="5"/>
  <c r="AT30" i="5"/>
  <c r="AU30" i="5"/>
  <c r="AT214" i="5"/>
  <c r="AU214" i="5"/>
  <c r="AU333" i="5"/>
  <c r="AT333" i="5"/>
  <c r="AU499" i="5"/>
  <c r="AT499" i="5"/>
  <c r="AU296" i="5"/>
  <c r="AT296" i="5"/>
  <c r="AT510" i="5"/>
  <c r="AU510" i="5"/>
  <c r="AT111" i="5"/>
  <c r="AU111" i="5"/>
  <c r="AU228" i="5"/>
  <c r="AT228" i="5"/>
  <c r="AT457" i="5"/>
  <c r="AU457" i="5"/>
  <c r="AT505" i="5"/>
  <c r="AU505" i="5"/>
  <c r="AT104" i="5"/>
  <c r="AU104" i="5"/>
  <c r="AU476" i="5"/>
  <c r="AT476" i="5"/>
  <c r="AU211" i="5"/>
  <c r="AT211" i="5"/>
  <c r="AU248" i="5"/>
  <c r="AT248" i="5"/>
  <c r="AU62" i="5"/>
  <c r="AT62" i="5"/>
  <c r="AU372" i="5"/>
  <c r="AT372" i="5"/>
  <c r="AU350" i="5"/>
  <c r="AT350" i="5"/>
  <c r="AU558" i="5"/>
  <c r="AT558" i="5"/>
  <c r="AU314" i="5"/>
  <c r="AT314" i="5"/>
  <c r="AU32" i="5"/>
  <c r="AT32" i="5"/>
  <c r="AU70" i="5"/>
  <c r="AT70" i="5"/>
  <c r="AT339" i="5"/>
  <c r="AU339" i="5"/>
  <c r="AU283" i="5"/>
  <c r="AT283" i="5"/>
  <c r="AT179" i="5"/>
  <c r="AU179" i="5"/>
  <c r="AU240" i="5"/>
  <c r="AT240" i="5"/>
  <c r="AU456" i="5"/>
  <c r="AT456" i="5"/>
  <c r="AT334" i="5"/>
  <c r="AU334" i="5"/>
  <c r="AU223" i="5"/>
  <c r="AT223" i="5"/>
  <c r="AU93" i="5"/>
  <c r="AT93" i="5"/>
  <c r="AU488" i="5"/>
  <c r="AT488" i="5"/>
  <c r="AU396" i="5"/>
  <c r="AT396" i="5"/>
  <c r="AU172" i="5"/>
  <c r="AT172" i="5"/>
  <c r="AU39" i="5"/>
  <c r="AT39" i="5"/>
  <c r="AU92" i="5"/>
  <c r="AT92" i="5"/>
  <c r="AU496" i="5"/>
  <c r="AT496" i="5"/>
  <c r="AU402" i="5"/>
  <c r="AT402" i="5"/>
  <c r="AT237" i="5"/>
  <c r="AU237" i="5"/>
  <c r="AU75" i="5"/>
  <c r="AT75" i="5"/>
  <c r="AU107" i="5"/>
  <c r="AT107" i="5"/>
  <c r="AU444" i="5"/>
  <c r="AT444" i="5"/>
  <c r="AU293" i="5"/>
  <c r="AT293" i="5"/>
  <c r="AU139" i="5"/>
  <c r="AT139" i="5"/>
  <c r="AT440" i="5"/>
  <c r="AU440" i="5"/>
  <c r="AT490" i="5"/>
  <c r="AU490" i="5"/>
  <c r="AT253" i="5"/>
  <c r="AU253" i="5"/>
  <c r="AU114" i="5"/>
  <c r="AT114" i="5"/>
  <c r="AT27" i="5"/>
  <c r="AU27" i="5"/>
  <c r="AU423" i="5"/>
  <c r="AT423" i="5"/>
  <c r="AU301" i="5"/>
  <c r="AT301" i="5"/>
  <c r="AU126" i="5"/>
  <c r="AT126" i="5"/>
  <c r="AU275" i="5"/>
  <c r="AT275" i="5"/>
  <c r="AU531" i="5"/>
  <c r="AT531" i="5"/>
  <c r="AU319" i="5"/>
  <c r="AT319" i="5"/>
  <c r="AU174" i="5"/>
  <c r="AT174" i="5"/>
  <c r="AU147" i="5"/>
  <c r="AT147" i="5"/>
  <c r="AU120" i="5"/>
  <c r="AT120" i="5"/>
  <c r="AU330" i="5"/>
  <c r="AT330" i="5"/>
  <c r="AU394" i="5"/>
  <c r="AT394" i="5"/>
  <c r="AU207" i="5"/>
  <c r="AT207" i="5"/>
  <c r="AU327" i="5"/>
  <c r="AT327" i="5"/>
  <c r="AU546" i="5"/>
  <c r="AT546" i="5"/>
  <c r="AU366" i="5"/>
  <c r="AT366" i="5"/>
  <c r="AT96" i="5"/>
  <c r="AU96" i="5"/>
  <c r="AU213" i="5"/>
  <c r="AT213" i="5"/>
  <c r="AT303" i="5"/>
  <c r="AU303" i="5"/>
  <c r="AU421" i="5"/>
  <c r="AT421" i="5"/>
  <c r="AU528" i="5"/>
  <c r="AT528" i="5"/>
  <c r="AU108" i="5"/>
  <c r="AT108" i="5"/>
  <c r="AU87" i="5"/>
  <c r="AT87" i="5"/>
  <c r="AU262" i="5"/>
  <c r="AT262" i="5"/>
  <c r="AU399" i="5"/>
  <c r="AT399" i="5"/>
  <c r="AT517" i="5"/>
  <c r="AU517" i="5"/>
  <c r="AU143" i="5"/>
  <c r="AT143" i="5"/>
  <c r="AU64" i="5"/>
  <c r="AT64" i="5"/>
  <c r="AU165" i="5"/>
  <c r="AT165" i="5"/>
  <c r="AU247" i="5"/>
  <c r="AT247" i="5"/>
  <c r="AT368" i="5"/>
  <c r="AU368" i="5"/>
  <c r="AT481" i="5"/>
  <c r="AU481" i="5"/>
  <c r="AU264" i="5"/>
  <c r="AT264" i="5"/>
  <c r="AU250" i="5"/>
  <c r="AT250" i="5"/>
  <c r="AU56" i="5"/>
  <c r="AT56" i="5"/>
  <c r="AU235" i="5"/>
  <c r="AT235" i="5"/>
  <c r="AU338" i="5"/>
  <c r="AT338" i="5"/>
  <c r="AU503" i="5"/>
  <c r="AT503" i="5"/>
  <c r="AU384" i="5"/>
  <c r="AT384" i="5"/>
  <c r="AU532" i="5"/>
  <c r="AT532" i="5"/>
  <c r="AU116" i="5"/>
  <c r="AT116" i="5"/>
  <c r="AT245" i="5"/>
  <c r="AU245" i="5"/>
  <c r="AT491" i="5"/>
  <c r="AU491" i="5"/>
  <c r="AU501" i="5"/>
  <c r="AT501" i="5"/>
  <c r="AU447" i="5"/>
  <c r="AT447" i="5"/>
  <c r="AU156" i="5"/>
  <c r="AT156" i="5"/>
  <c r="AT131" i="5"/>
  <c r="AU131" i="5"/>
  <c r="AU386" i="5"/>
  <c r="AT386" i="5"/>
  <c r="AU266" i="5"/>
  <c r="AT266" i="5"/>
  <c r="AU210" i="5"/>
  <c r="AT210" i="5"/>
  <c r="AU335" i="5"/>
  <c r="AT335" i="5"/>
  <c r="AU59" i="5"/>
  <c r="AT59" i="5"/>
  <c r="AU124" i="5"/>
  <c r="AT124" i="5"/>
  <c r="AU138" i="5"/>
  <c r="AT138" i="5"/>
  <c r="AT464" i="5"/>
  <c r="AU464" i="5"/>
  <c r="AU304" i="5"/>
  <c r="AT304" i="5"/>
  <c r="AT199" i="5"/>
  <c r="AU199" i="5"/>
  <c r="AU404" i="5"/>
  <c r="AT404" i="5"/>
  <c r="AU484" i="5"/>
  <c r="AT484" i="5"/>
  <c r="AU320" i="5"/>
  <c r="AT320" i="5"/>
  <c r="AU154" i="5"/>
  <c r="AT154" i="5"/>
  <c r="AU68" i="5"/>
  <c r="AT68" i="5"/>
  <c r="AT37" i="5"/>
  <c r="AU37" i="5"/>
  <c r="AT494" i="5"/>
  <c r="AU494" i="5"/>
  <c r="AT362" i="5"/>
  <c r="AU362" i="5"/>
  <c r="AU242" i="5"/>
  <c r="AT242" i="5"/>
  <c r="AU410" i="5"/>
  <c r="AT410" i="5"/>
  <c r="AU554" i="5"/>
  <c r="AT554" i="5"/>
  <c r="AT420" i="5"/>
  <c r="AU420" i="5"/>
  <c r="AT359" i="5"/>
  <c r="AU359" i="5"/>
  <c r="AU130" i="5"/>
  <c r="AT130" i="5"/>
  <c r="AU155" i="5"/>
  <c r="AT155" i="5"/>
  <c r="AT445" i="5"/>
  <c r="AU445" i="5"/>
  <c r="AT209" i="5"/>
  <c r="AU209" i="5"/>
  <c r="AU344" i="5"/>
  <c r="AT344" i="5"/>
  <c r="AU291" i="5"/>
  <c r="AT291" i="5"/>
  <c r="AT387" i="5"/>
  <c r="AU387" i="5"/>
  <c r="AU308" i="5"/>
  <c r="AT308" i="5"/>
  <c r="AU118" i="5"/>
  <c r="AT118" i="5"/>
  <c r="AU408" i="5"/>
  <c r="AT408" i="5"/>
  <c r="AU507" i="5"/>
  <c r="AT507" i="5"/>
  <c r="AU355" i="5"/>
  <c r="AT355" i="5"/>
  <c r="AT115" i="5"/>
  <c r="AU115" i="5"/>
  <c r="AT241" i="5"/>
  <c r="AU241" i="5"/>
  <c r="AU73" i="5"/>
  <c r="AT73" i="5"/>
  <c r="AT375" i="5"/>
  <c r="AU375" i="5"/>
  <c r="AU24" i="5"/>
  <c r="AT24" i="5"/>
  <c r="AU221" i="5"/>
  <c r="AT221" i="5"/>
  <c r="AT331" i="5"/>
  <c r="AU331" i="5"/>
  <c r="AU206" i="5"/>
  <c r="AT206" i="5"/>
  <c r="AU458" i="5"/>
  <c r="AT458" i="5"/>
  <c r="AU100" i="5"/>
  <c r="AT100" i="5"/>
  <c r="AU218" i="5"/>
  <c r="AT218" i="5"/>
  <c r="AT313" i="5"/>
  <c r="AU313" i="5"/>
  <c r="AU427" i="5"/>
  <c r="AT427" i="5"/>
  <c r="AT550" i="5"/>
  <c r="AU550" i="5"/>
  <c r="AU232" i="5"/>
  <c r="AT232" i="5"/>
  <c r="AU149" i="5"/>
  <c r="AT149" i="5"/>
  <c r="AU269" i="5"/>
  <c r="AT269" i="5"/>
  <c r="AT416" i="5"/>
  <c r="AU416" i="5"/>
  <c r="AU547" i="5"/>
  <c r="AT547" i="5"/>
  <c r="AU162" i="5"/>
  <c r="AT162" i="5"/>
  <c r="AT72" i="5"/>
  <c r="AU72" i="5"/>
  <c r="AT189" i="5"/>
  <c r="AU189" i="5"/>
  <c r="AT274" i="5"/>
  <c r="AU274" i="5"/>
  <c r="AU373" i="5"/>
  <c r="AT373" i="5"/>
  <c r="AT485" i="5"/>
  <c r="AU485" i="5"/>
  <c r="AT292" i="5"/>
  <c r="AU292" i="5"/>
  <c r="AU361" i="5"/>
  <c r="AT361" i="5"/>
  <c r="AU60" i="5"/>
  <c r="AT60" i="5"/>
  <c r="AT267" i="5"/>
  <c r="AU267" i="5"/>
  <c r="AU343" i="5"/>
  <c r="AT343" i="5"/>
  <c r="AT518" i="5"/>
  <c r="AU518" i="5"/>
  <c r="AT95" i="5"/>
  <c r="AU95" i="5"/>
  <c r="AT22" i="5"/>
  <c r="AU22" i="5"/>
  <c r="AU136" i="5"/>
  <c r="AT136" i="5"/>
  <c r="AU258" i="5"/>
  <c r="AT258" i="5"/>
  <c r="AT509" i="5"/>
  <c r="AU509" i="5"/>
  <c r="AU129" i="5"/>
  <c r="AT129" i="5"/>
  <c r="AU310" i="5"/>
  <c r="AT310" i="5"/>
  <c r="AU474" i="5"/>
  <c r="AT474" i="5"/>
  <c r="AU195" i="5"/>
  <c r="AT195" i="5"/>
  <c r="AU380" i="5"/>
  <c r="AT380" i="5"/>
  <c r="AT468" i="5"/>
  <c r="AU468" i="5"/>
  <c r="AU42" i="5"/>
  <c r="AT42" i="5"/>
  <c r="AU191" i="5"/>
  <c r="AT191" i="5"/>
  <c r="AU180" i="5"/>
  <c r="AT180" i="5"/>
  <c r="AT354" i="5"/>
  <c r="AU354" i="5"/>
  <c r="AT415" i="5"/>
  <c r="AU415" i="5"/>
  <c r="AT412" i="5"/>
  <c r="AU412" i="5"/>
  <c r="AU441" i="5"/>
  <c r="AT441" i="5"/>
  <c r="AU328" i="5"/>
  <c r="AT328" i="5"/>
  <c r="AU178" i="5"/>
  <c r="AT178" i="5"/>
  <c r="AU204" i="5"/>
  <c r="AT204" i="5"/>
  <c r="AU451" i="5"/>
  <c r="AT451" i="5"/>
  <c r="AU298" i="5"/>
  <c r="AT298" i="5"/>
  <c r="AU183" i="5"/>
  <c r="AT183" i="5"/>
  <c r="AU99" i="5"/>
  <c r="AT99" i="5"/>
  <c r="AU90" i="5"/>
  <c r="AT90" i="5"/>
  <c r="AT477" i="5"/>
  <c r="AU477" i="5"/>
  <c r="AU315" i="5"/>
  <c r="AT315" i="5"/>
  <c r="AU201" i="5"/>
  <c r="AT201" i="5"/>
  <c r="AU466" i="5"/>
  <c r="AT466" i="5"/>
  <c r="AU530" i="5"/>
  <c r="AT530" i="5"/>
  <c r="AT409" i="5"/>
  <c r="AU409" i="5"/>
  <c r="AU273" i="5"/>
  <c r="AT273" i="5"/>
  <c r="AU122" i="5"/>
  <c r="AT122" i="5"/>
  <c r="AU69" i="5"/>
  <c r="AT69" i="5"/>
  <c r="AT446" i="5"/>
  <c r="AU446" i="5"/>
  <c r="AU208" i="5"/>
  <c r="AT208" i="5"/>
  <c r="AT348" i="5"/>
  <c r="AU348" i="5"/>
  <c r="AU555" i="5"/>
  <c r="AT555" i="5"/>
  <c r="AU388" i="5"/>
  <c r="AT388" i="5"/>
  <c r="AT257" i="5"/>
  <c r="AU257" i="5"/>
  <c r="AT55" i="5"/>
  <c r="AU55" i="5"/>
  <c r="AT463" i="5"/>
  <c r="AU463" i="5"/>
  <c r="AT469" i="5"/>
  <c r="AU469" i="5"/>
  <c r="AT312" i="5"/>
  <c r="AU312" i="5"/>
  <c r="AT141" i="5"/>
  <c r="AU141" i="5"/>
  <c r="AU356" i="5"/>
  <c r="AT356" i="5"/>
  <c r="AT77" i="5"/>
  <c r="AU77" i="5"/>
  <c r="AU454" i="5"/>
  <c r="AT454" i="5"/>
  <c r="AU28" i="5"/>
  <c r="AT28" i="5"/>
  <c r="AT229" i="5"/>
  <c r="AU229" i="5"/>
  <c r="AU341" i="5"/>
  <c r="AT341" i="5"/>
  <c r="AU288" i="5"/>
  <c r="AT288" i="5"/>
  <c r="AU20" i="5"/>
  <c r="AT20" i="5"/>
  <c r="AT103" i="5"/>
  <c r="AU103" i="5"/>
  <c r="AU226" i="5"/>
  <c r="AT226" i="5"/>
  <c r="AU346" i="5"/>
  <c r="AT346" i="5"/>
  <c r="AT442" i="5"/>
  <c r="AU442" i="5"/>
  <c r="AU176" i="5"/>
  <c r="AT176" i="5"/>
  <c r="AT254" i="5"/>
  <c r="AU254" i="5"/>
  <c r="AU152" i="5"/>
  <c r="AT152" i="5"/>
  <c r="AU286" i="5"/>
  <c r="AT286" i="5"/>
  <c r="AU439" i="5"/>
  <c r="AT439" i="5"/>
  <c r="AU556" i="5"/>
  <c r="AT556" i="5"/>
  <c r="AT202" i="5"/>
  <c r="AU202" i="5"/>
  <c r="AT97" i="5"/>
  <c r="AU97" i="5"/>
  <c r="AU194" i="5"/>
  <c r="AT194" i="5"/>
  <c r="AU278" i="5"/>
  <c r="AT278" i="5"/>
  <c r="AU392" i="5"/>
  <c r="AT392" i="5"/>
  <c r="AU522" i="5"/>
  <c r="AT522" i="5"/>
  <c r="AU462" i="5"/>
  <c r="AT462" i="5"/>
  <c r="AU390" i="5"/>
  <c r="AT390" i="5"/>
  <c r="AT88" i="5"/>
  <c r="AU88" i="5"/>
  <c r="AT270" i="5"/>
  <c r="AU270" i="5"/>
  <c r="AU360" i="5"/>
  <c r="AT360" i="5"/>
  <c r="AU548" i="5"/>
  <c r="AT548" i="5"/>
  <c r="AU127" i="5"/>
  <c r="AT127" i="5"/>
  <c r="AU48" i="5"/>
  <c r="AT48" i="5"/>
  <c r="AU150" i="5"/>
  <c r="AT150" i="5"/>
  <c r="AU305" i="5"/>
  <c r="AT305" i="5"/>
  <c r="AT526" i="5"/>
  <c r="AU526" i="5"/>
  <c r="AU374" i="5"/>
  <c r="AT374" i="5"/>
  <c r="AU560" i="5"/>
  <c r="AT560" i="5"/>
  <c r="AU428" i="5"/>
  <c r="AT428" i="5"/>
  <c r="AU212" i="5"/>
  <c r="AT212" i="5"/>
  <c r="AU364" i="5"/>
  <c r="AT364" i="5"/>
  <c r="AU57" i="5"/>
  <c r="AT57" i="5"/>
  <c r="AU549" i="5"/>
  <c r="AT549" i="5"/>
  <c r="AU198" i="5"/>
  <c r="AT198" i="5"/>
  <c r="AT321" i="5"/>
  <c r="AU321" i="5"/>
  <c r="AU171" i="5"/>
  <c r="AT171" i="5"/>
  <c r="AU175" i="5"/>
  <c r="AT175" i="5"/>
  <c r="AU395" i="5"/>
  <c r="AT395" i="5"/>
  <c r="AT336" i="5"/>
  <c r="AU336" i="5"/>
  <c r="AU425" i="5"/>
  <c r="AT425" i="5"/>
  <c r="AU256" i="5"/>
  <c r="AT256" i="5"/>
  <c r="AT113" i="5"/>
  <c r="AU113" i="5"/>
  <c r="AU233" i="5"/>
  <c r="AT233" i="5"/>
  <c r="AU431" i="5"/>
  <c r="AT431" i="5"/>
  <c r="AT287" i="5"/>
  <c r="AU287" i="5"/>
  <c r="AU158" i="5"/>
  <c r="AT158" i="5"/>
  <c r="AU51" i="5"/>
  <c r="AT51" i="5"/>
  <c r="AT200" i="5"/>
  <c r="AU200" i="5"/>
  <c r="AT467" i="5"/>
  <c r="AU467" i="5"/>
  <c r="AU316" i="5"/>
  <c r="AT316" i="5"/>
  <c r="AU225" i="5"/>
  <c r="AT225" i="5"/>
  <c r="AT192" i="5"/>
  <c r="AU192" i="5"/>
  <c r="AT497" i="5"/>
  <c r="AU497" i="5"/>
  <c r="AT385" i="5"/>
  <c r="AU385" i="5"/>
  <c r="AU261" i="5"/>
  <c r="AT261" i="5"/>
  <c r="AU63" i="5"/>
  <c r="AT63" i="5"/>
  <c r="AU276" i="5"/>
  <c r="AT276" i="5"/>
  <c r="AU419" i="5"/>
  <c r="AT419" i="5"/>
  <c r="AU188" i="5"/>
  <c r="AT188" i="5"/>
  <c r="AU453" i="5"/>
  <c r="AT453" i="5"/>
  <c r="AU543" i="5"/>
  <c r="AT543" i="5"/>
  <c r="AU429" i="5"/>
  <c r="AT429" i="5"/>
  <c r="AU249" i="5"/>
  <c r="AT249" i="5"/>
  <c r="AT23" i="5"/>
  <c r="AU23" i="5"/>
  <c r="AT541" i="5"/>
  <c r="AU541" i="5"/>
  <c r="AU433" i="5"/>
  <c r="AT433" i="5"/>
  <c r="AT297" i="5"/>
  <c r="AU297" i="5"/>
  <c r="AU134" i="5"/>
  <c r="AT134" i="5"/>
  <c r="AT553" i="5"/>
  <c r="AU553" i="5"/>
  <c r="AU44" i="5"/>
  <c r="AT44" i="5"/>
  <c r="AU66" i="5"/>
  <c r="AT66" i="5"/>
  <c r="AU41" i="5"/>
  <c r="AT41" i="5"/>
  <c r="AU238" i="5"/>
  <c r="AT238" i="5"/>
  <c r="AU349" i="5"/>
  <c r="AT349" i="5"/>
  <c r="AU322" i="5"/>
  <c r="AT322" i="5"/>
  <c r="AU33" i="5"/>
  <c r="AT33" i="5"/>
  <c r="AU128" i="5"/>
  <c r="AT128" i="5"/>
  <c r="AU243" i="5"/>
  <c r="AT243" i="5"/>
  <c r="AU358" i="5"/>
  <c r="AT358" i="5"/>
  <c r="AT455" i="5"/>
  <c r="AU455" i="5"/>
  <c r="AU302" i="5"/>
  <c r="AT302" i="5"/>
  <c r="AU450" i="5"/>
  <c r="AT450" i="5"/>
  <c r="AU173" i="5"/>
  <c r="AT173" i="5"/>
  <c r="AU290" i="5"/>
  <c r="AT290" i="5"/>
  <c r="AU448" i="5"/>
  <c r="AT448" i="5"/>
  <c r="AT159" i="5"/>
  <c r="AU159" i="5"/>
  <c r="AT357" i="5"/>
  <c r="AU357" i="5"/>
  <c r="AU101" i="5"/>
  <c r="AT101" i="5"/>
  <c r="AU205" i="5"/>
  <c r="AT205" i="5"/>
  <c r="AU300" i="5"/>
  <c r="AT300" i="5"/>
  <c r="AU397" i="5"/>
  <c r="AT397" i="5"/>
  <c r="AT525" i="5"/>
  <c r="AU525" i="5"/>
  <c r="AT500" i="5"/>
  <c r="AU500" i="5"/>
  <c r="AT479" i="5"/>
  <c r="AU479" i="5"/>
  <c r="AU125" i="5"/>
  <c r="AT125" i="5"/>
  <c r="AT282" i="5"/>
  <c r="AU282" i="5"/>
  <c r="AU377" i="5"/>
  <c r="AT377" i="5"/>
  <c r="AU552" i="5"/>
  <c r="AT552" i="5"/>
  <c r="AT317" i="5"/>
  <c r="AU317" i="5"/>
  <c r="AU52" i="5"/>
  <c r="AT52" i="5"/>
  <c r="AU153" i="5"/>
  <c r="AT153" i="5"/>
  <c r="AU352" i="5"/>
  <c r="AT352" i="5"/>
  <c r="AU539" i="5"/>
  <c r="AT539" i="5"/>
  <c r="AT231" i="5"/>
  <c r="AU231" i="5"/>
  <c r="AU472" i="5"/>
  <c r="AT472" i="5"/>
  <c r="AT351" i="5"/>
  <c r="AU351" i="5"/>
  <c r="AT471" i="5"/>
  <c r="AU471" i="5"/>
  <c r="AT106" i="5"/>
  <c r="AU106" i="5"/>
  <c r="AT272" i="5"/>
  <c r="AU272" i="5"/>
  <c r="AU480" i="5"/>
  <c r="AT480" i="5"/>
  <c r="AU493" i="5"/>
  <c r="AT493" i="5"/>
  <c r="AU119" i="5"/>
  <c r="AT119" i="5"/>
  <c r="AU434" i="5"/>
  <c r="AT434" i="5"/>
  <c r="AT540" i="5"/>
  <c r="AU540" i="5"/>
  <c r="AT414" i="5"/>
  <c r="AU414" i="5"/>
  <c r="AT140" i="5"/>
  <c r="AU140" i="5"/>
  <c r="AU105" i="5"/>
  <c r="AT105" i="5"/>
  <c r="AU544" i="5"/>
  <c r="AT544" i="5"/>
  <c r="AU551" i="5"/>
  <c r="AT551" i="5"/>
  <c r="AT401" i="5"/>
  <c r="AU401" i="5"/>
  <c r="AU263" i="5"/>
  <c r="AT263" i="5"/>
  <c r="AT137" i="5"/>
  <c r="AU137" i="5"/>
  <c r="AU391" i="5"/>
  <c r="AT391" i="5"/>
  <c r="AT426" i="5"/>
  <c r="AU426" i="5"/>
  <c r="AT265" i="5"/>
  <c r="AU265" i="5"/>
  <c r="AU170" i="5"/>
  <c r="AT170" i="5"/>
  <c r="AU473" i="5"/>
  <c r="AT473" i="5"/>
  <c r="AT559" i="5"/>
  <c r="AU559" i="5"/>
  <c r="AT460" i="5"/>
  <c r="AU460" i="5"/>
  <c r="AU318" i="5"/>
  <c r="AT318" i="5"/>
  <c r="AU193" i="5"/>
  <c r="AT193" i="5"/>
  <c r="AU76" i="5"/>
  <c r="AT76" i="5"/>
  <c r="AT478" i="5"/>
  <c r="AU478" i="5"/>
  <c r="AT383" i="5"/>
  <c r="AU383" i="5"/>
  <c r="AU224" i="5"/>
  <c r="AT224" i="5"/>
  <c r="AT31" i="5"/>
  <c r="AU31" i="5"/>
  <c r="AU284" i="5"/>
  <c r="AT284" i="5"/>
  <c r="AT307" i="5"/>
  <c r="AU307" i="5"/>
  <c r="AU182" i="5"/>
  <c r="AT182" i="5"/>
  <c r="AT21" i="5"/>
  <c r="AU21" i="5"/>
  <c r="AU516" i="5"/>
  <c r="AT516" i="5"/>
  <c r="AU342" i="5"/>
  <c r="AT342" i="5"/>
  <c r="AU217" i="5"/>
  <c r="AT217" i="5"/>
  <c r="AU94" i="5"/>
  <c r="AT94" i="5"/>
  <c r="AU438" i="5"/>
  <c r="AT438" i="5"/>
  <c r="AU418" i="5"/>
  <c r="AT418" i="5"/>
  <c r="AU285" i="5"/>
  <c r="AT285" i="5"/>
  <c r="AU80" i="5"/>
  <c r="AT80" i="5"/>
  <c r="AU512" i="5"/>
  <c r="AT512" i="5"/>
  <c r="AU132" i="5"/>
  <c r="AT132" i="5"/>
  <c r="AU102" i="5"/>
  <c r="AT102" i="5"/>
  <c r="AU58" i="5"/>
  <c r="AT58" i="5"/>
  <c r="AU246" i="5"/>
  <c r="AT246" i="5"/>
  <c r="AU411" i="5"/>
  <c r="AT411" i="5"/>
  <c r="AT405" i="5"/>
  <c r="AU405" i="5"/>
  <c r="AU50" i="5"/>
  <c r="AT50" i="5"/>
  <c r="AU144" i="5"/>
  <c r="AT144" i="5"/>
  <c r="AT255" i="5"/>
  <c r="AU255" i="5"/>
  <c r="AU367" i="5"/>
  <c r="AT367" i="5"/>
  <c r="AU475" i="5"/>
  <c r="AT475" i="5"/>
  <c r="AU370" i="5"/>
  <c r="AT370" i="5"/>
  <c r="AU25" i="5"/>
  <c r="AT25" i="5"/>
  <c r="AU184" i="5"/>
  <c r="AT184" i="5"/>
  <c r="AT337" i="5"/>
  <c r="AU337" i="5"/>
  <c r="AU459" i="5"/>
  <c r="AT459" i="5"/>
  <c r="AT268" i="5"/>
  <c r="AU268" i="5"/>
  <c r="AU398" i="5"/>
  <c r="AT398" i="5"/>
  <c r="AT110" i="5"/>
  <c r="AU110" i="5"/>
  <c r="AU219" i="5"/>
  <c r="AT219" i="5"/>
  <c r="AU309" i="5"/>
  <c r="AT309" i="5"/>
  <c r="AU422" i="5"/>
  <c r="AT422" i="5"/>
  <c r="AU529" i="5"/>
  <c r="AT529" i="5"/>
  <c r="AT523" i="5"/>
  <c r="AU523" i="5"/>
  <c r="AU515" i="5"/>
  <c r="AT515" i="5"/>
  <c r="AU142" i="5"/>
  <c r="AT142" i="5"/>
  <c r="AT295" i="5"/>
  <c r="AU295" i="5"/>
  <c r="AT389" i="5"/>
  <c r="AU389" i="5"/>
  <c r="AU19" i="5"/>
  <c r="AT19" i="5"/>
  <c r="AU353" i="5"/>
  <c r="AT353" i="5"/>
  <c r="AU65" i="5"/>
  <c r="AT65" i="5"/>
  <c r="AU185" i="5"/>
  <c r="AT185" i="5"/>
  <c r="AU365" i="5"/>
  <c r="AT365" i="5"/>
  <c r="AU557" i="5"/>
  <c r="AT557" i="5"/>
  <c r="AX411" i="5"/>
  <c r="AW411" i="5"/>
  <c r="AW393" i="5"/>
  <c r="AX393" i="5"/>
  <c r="AW72" i="5"/>
  <c r="AX72" i="5"/>
  <c r="AX141" i="5"/>
  <c r="AW141" i="5"/>
  <c r="AW426" i="5"/>
  <c r="AX426" i="5"/>
  <c r="AW174" i="5"/>
  <c r="AX174" i="5"/>
  <c r="AW168" i="5"/>
  <c r="AX168" i="5"/>
  <c r="AX420" i="5"/>
  <c r="AW420" i="5"/>
  <c r="AX299" i="5"/>
  <c r="AW299" i="5"/>
  <c r="AW543" i="5"/>
  <c r="AX543" i="5"/>
  <c r="AX507" i="5"/>
  <c r="AW507" i="5"/>
  <c r="AX339" i="5"/>
  <c r="AW339" i="5"/>
  <c r="AX296" i="5"/>
  <c r="AW296" i="5"/>
  <c r="AW427" i="5"/>
  <c r="AX427" i="5"/>
  <c r="AX331" i="5"/>
  <c r="AW331" i="5"/>
  <c r="AX461" i="5"/>
  <c r="AW461" i="5"/>
  <c r="AX370" i="5"/>
  <c r="AW370" i="5"/>
  <c r="AX30" i="5"/>
  <c r="AW30" i="5"/>
  <c r="AX453" i="5"/>
  <c r="AW453" i="5"/>
  <c r="AW312" i="5"/>
  <c r="AX312" i="5"/>
  <c r="AX558" i="5"/>
  <c r="AW558" i="5"/>
  <c r="AW436" i="5"/>
  <c r="AX436" i="5"/>
  <c r="AX171" i="5"/>
  <c r="AW171" i="5"/>
  <c r="AX378" i="5"/>
  <c r="AW378" i="5"/>
  <c r="AX550" i="5"/>
  <c r="AW550" i="5"/>
  <c r="AW452" i="5"/>
  <c r="AX452" i="5"/>
  <c r="AX37" i="5"/>
  <c r="AW37" i="5"/>
  <c r="AX232" i="5"/>
  <c r="AW232" i="5"/>
  <c r="AW21" i="5"/>
  <c r="AX21" i="5"/>
  <c r="AW260" i="5"/>
  <c r="AX260" i="5"/>
  <c r="AX138" i="5"/>
  <c r="AW138" i="5"/>
  <c r="AX83" i="5"/>
  <c r="AW83" i="5"/>
  <c r="AX264" i="5"/>
  <c r="AW264" i="5"/>
  <c r="AX19" i="5"/>
  <c r="AW19" i="5"/>
  <c r="AX255" i="5"/>
  <c r="AW255" i="5"/>
  <c r="AW147" i="5"/>
  <c r="AX147" i="5"/>
  <c r="AX22" i="5"/>
  <c r="AW22" i="5"/>
  <c r="AW506" i="5"/>
  <c r="AX506" i="5"/>
  <c r="AX129" i="5"/>
  <c r="AW129" i="5"/>
  <c r="AX116" i="5"/>
  <c r="AW116" i="5"/>
  <c r="AX236" i="5"/>
  <c r="AW236" i="5"/>
  <c r="AX140" i="5"/>
  <c r="AW140" i="5"/>
  <c r="AX326" i="5"/>
  <c r="AW326" i="5"/>
  <c r="AX297" i="5"/>
  <c r="AW297" i="5"/>
  <c r="AX77" i="5"/>
  <c r="AW77" i="5"/>
  <c r="AW41" i="5"/>
  <c r="AX41" i="5"/>
  <c r="AW86" i="5"/>
  <c r="AX86" i="5"/>
  <c r="AW25" i="5"/>
  <c r="AX25" i="5"/>
  <c r="AW192" i="5"/>
  <c r="AX192" i="5"/>
  <c r="AX64" i="5"/>
  <c r="AW64" i="5"/>
  <c r="AX405" i="5"/>
  <c r="AW405" i="5"/>
  <c r="AX104" i="5"/>
  <c r="AW104" i="5"/>
  <c r="AX161" i="5"/>
  <c r="AW161" i="5"/>
  <c r="AW87" i="5"/>
  <c r="AX87" i="5"/>
  <c r="AW23" i="5"/>
  <c r="AX23" i="5"/>
  <c r="AW149" i="5"/>
  <c r="AX149" i="5"/>
  <c r="AX26" i="5"/>
  <c r="AW26" i="5"/>
  <c r="AX153" i="5"/>
  <c r="AW153" i="5"/>
  <c r="AX222" i="5"/>
  <c r="AW222" i="5"/>
  <c r="AW366" i="5"/>
  <c r="AX366" i="5"/>
  <c r="AX556" i="5"/>
  <c r="AW556" i="5"/>
  <c r="AW275" i="5"/>
  <c r="AX275" i="5"/>
  <c r="AW407" i="5"/>
  <c r="AX407" i="5"/>
  <c r="AX479" i="5"/>
  <c r="AW479" i="5"/>
  <c r="AX219" i="5"/>
  <c r="AW219" i="5"/>
  <c r="AW336" i="5"/>
  <c r="AX336" i="5"/>
  <c r="AW474" i="5"/>
  <c r="AX474" i="5"/>
  <c r="AX358" i="5"/>
  <c r="AW358" i="5"/>
  <c r="AX484" i="5"/>
  <c r="AW484" i="5"/>
  <c r="AX267" i="5"/>
  <c r="AW267" i="5"/>
  <c r="AX365" i="5"/>
  <c r="AW365" i="5"/>
  <c r="AX206" i="5"/>
  <c r="AW206" i="5"/>
  <c r="AX276" i="5"/>
  <c r="AW276" i="5"/>
  <c r="AW406" i="5"/>
  <c r="AX406" i="5"/>
  <c r="AW227" i="5"/>
  <c r="AX227" i="5"/>
  <c r="AW375" i="5"/>
  <c r="AX375" i="5"/>
  <c r="AX468" i="5"/>
  <c r="AW468" i="5"/>
  <c r="AW467" i="5"/>
  <c r="AX467" i="5"/>
  <c r="AW464" i="5"/>
  <c r="AX464" i="5"/>
  <c r="AW545" i="5"/>
  <c r="AX545" i="5"/>
  <c r="AW122" i="5"/>
  <c r="AX122" i="5"/>
  <c r="AW90" i="5"/>
  <c r="AX90" i="5"/>
  <c r="AW49" i="5"/>
  <c r="AX49" i="5"/>
  <c r="AX423" i="5"/>
  <c r="AW423" i="5"/>
  <c r="AX417" i="5"/>
  <c r="AW417" i="5"/>
  <c r="AX532" i="5"/>
  <c r="AW532" i="5"/>
  <c r="AW251" i="5"/>
  <c r="AX251" i="5"/>
  <c r="AX416" i="5"/>
  <c r="AW416" i="5"/>
  <c r="AW499" i="5"/>
  <c r="AX499" i="5"/>
  <c r="AW332" i="5"/>
  <c r="AX332" i="5"/>
  <c r="AX530" i="5"/>
  <c r="AW530" i="5"/>
  <c r="AX438" i="5"/>
  <c r="AW438" i="5"/>
  <c r="AX288" i="5"/>
  <c r="AW288" i="5"/>
  <c r="AX455" i="5"/>
  <c r="AW455" i="5"/>
  <c r="AX369" i="5"/>
  <c r="AW369" i="5"/>
  <c r="AX552" i="5"/>
  <c r="AW552" i="5"/>
  <c r="AX451" i="5"/>
  <c r="AW451" i="5"/>
  <c r="AW188" i="5"/>
  <c r="AX188" i="5"/>
  <c r="AX554" i="5"/>
  <c r="AW554" i="5"/>
  <c r="AW408" i="5"/>
  <c r="AX408" i="5"/>
  <c r="AX44" i="5"/>
  <c r="AW44" i="5"/>
  <c r="AX386" i="5"/>
  <c r="AW386" i="5"/>
  <c r="AX362" i="5"/>
  <c r="AW362" i="5"/>
  <c r="AX447" i="5"/>
  <c r="AW447" i="5"/>
  <c r="AW28" i="5"/>
  <c r="AX28" i="5"/>
  <c r="AX216" i="5"/>
  <c r="AW216" i="5"/>
  <c r="AW53" i="5"/>
  <c r="AX53" i="5"/>
  <c r="AW253" i="5"/>
  <c r="AX253" i="5"/>
  <c r="AX125" i="5"/>
  <c r="AW125" i="5"/>
  <c r="AX93" i="5"/>
  <c r="AW93" i="5"/>
  <c r="AW269" i="5"/>
  <c r="AX269" i="5"/>
  <c r="AX109" i="5"/>
  <c r="AW109" i="5"/>
  <c r="AW244" i="5"/>
  <c r="AX244" i="5"/>
  <c r="AW146" i="5"/>
  <c r="AX146" i="5"/>
  <c r="AX92" i="5"/>
  <c r="AW92" i="5"/>
  <c r="AX234" i="5"/>
  <c r="AW234" i="5"/>
  <c r="AX133" i="5"/>
  <c r="AW133" i="5"/>
  <c r="AX311" i="5"/>
  <c r="AW311" i="5"/>
  <c r="AX191" i="5"/>
  <c r="AW191" i="5"/>
  <c r="AX29" i="5"/>
  <c r="AW29" i="5"/>
  <c r="AW217" i="5"/>
  <c r="AX217" i="5"/>
  <c r="AX282" i="5"/>
  <c r="AW282" i="5"/>
  <c r="AX492" i="5"/>
  <c r="AW492" i="5"/>
  <c r="AW42" i="5"/>
  <c r="AX42" i="5"/>
  <c r="AX131" i="5"/>
  <c r="AW131" i="5"/>
  <c r="AX39" i="5"/>
  <c r="AW39" i="5"/>
  <c r="AX210" i="5"/>
  <c r="AW210" i="5"/>
  <c r="AX98" i="5"/>
  <c r="AW98" i="5"/>
  <c r="AW551" i="5"/>
  <c r="AX551" i="5"/>
  <c r="AX108" i="5"/>
  <c r="AW108" i="5"/>
  <c r="AX165" i="5"/>
  <c r="AW165" i="5"/>
  <c r="AW160" i="5"/>
  <c r="AX160" i="5"/>
  <c r="AX74" i="5"/>
  <c r="AW74" i="5"/>
  <c r="AW151" i="5"/>
  <c r="AX151" i="5"/>
  <c r="AX47" i="5"/>
  <c r="AW47" i="5"/>
  <c r="AX157" i="5"/>
  <c r="AW157" i="5"/>
  <c r="AW245" i="5"/>
  <c r="AX245" i="5"/>
  <c r="AX368" i="5"/>
  <c r="AW368" i="5"/>
  <c r="AX193" i="5"/>
  <c r="AW193" i="5"/>
  <c r="AX300" i="5"/>
  <c r="AW300" i="5"/>
  <c r="AW412" i="5"/>
  <c r="AX412" i="5"/>
  <c r="AX509" i="5"/>
  <c r="AW509" i="5"/>
  <c r="AX235" i="5"/>
  <c r="AW235" i="5"/>
  <c r="AX353" i="5"/>
  <c r="AW353" i="5"/>
  <c r="AW482" i="5"/>
  <c r="AX482" i="5"/>
  <c r="AW385" i="5"/>
  <c r="AX385" i="5"/>
  <c r="AW498" i="5"/>
  <c r="AX498" i="5"/>
  <c r="AX273" i="5"/>
  <c r="AW273" i="5"/>
  <c r="AX384" i="5"/>
  <c r="AW384" i="5"/>
  <c r="AX214" i="5"/>
  <c r="AW214" i="5"/>
  <c r="AW279" i="5"/>
  <c r="AX279" i="5"/>
  <c r="AW430" i="5"/>
  <c r="AX430" i="5"/>
  <c r="AW229" i="5"/>
  <c r="AX229" i="5"/>
  <c r="AW389" i="5"/>
  <c r="AX389" i="5"/>
  <c r="AX475" i="5"/>
  <c r="AW475" i="5"/>
  <c r="AX503" i="5"/>
  <c r="AW503" i="5"/>
  <c r="AW527" i="5"/>
  <c r="AX527" i="5"/>
  <c r="AX201" i="5"/>
  <c r="AW201" i="5"/>
  <c r="AX51" i="5"/>
  <c r="AW51" i="5"/>
  <c r="AX91" i="5"/>
  <c r="AW91" i="5"/>
  <c r="AX34" i="5"/>
  <c r="AW34" i="5"/>
  <c r="AX325" i="5"/>
  <c r="AW325" i="5"/>
  <c r="AX238" i="5"/>
  <c r="AW238" i="5"/>
  <c r="AW218" i="5"/>
  <c r="AX218" i="5"/>
  <c r="AW496" i="5"/>
  <c r="AX496" i="5"/>
  <c r="AX274" i="5"/>
  <c r="AW274" i="5"/>
  <c r="AX472" i="5"/>
  <c r="AW472" i="5"/>
  <c r="AX200" i="5"/>
  <c r="AW200" i="5"/>
  <c r="AX501" i="5"/>
  <c r="AW501" i="5"/>
  <c r="AW397" i="5"/>
  <c r="AX397" i="5"/>
  <c r="AW352" i="5"/>
  <c r="AX352" i="5"/>
  <c r="AW403" i="5"/>
  <c r="AX403" i="5"/>
  <c r="AX318" i="5"/>
  <c r="AW318" i="5"/>
  <c r="AX199" i="5"/>
  <c r="AW199" i="5"/>
  <c r="AX413" i="5"/>
  <c r="AW413" i="5"/>
  <c r="AX68" i="5"/>
  <c r="AW68" i="5"/>
  <c r="AX488" i="5"/>
  <c r="AW488" i="5"/>
  <c r="AX363" i="5"/>
  <c r="AW363" i="5"/>
  <c r="AW531" i="5"/>
  <c r="AX531" i="5"/>
  <c r="AW360" i="5"/>
  <c r="AX360" i="5"/>
  <c r="AX534" i="5"/>
  <c r="AW534" i="5"/>
  <c r="AW381" i="5"/>
  <c r="AX381" i="5"/>
  <c r="AW328" i="5"/>
  <c r="AX328" i="5"/>
  <c r="AX203" i="5"/>
  <c r="AW203" i="5"/>
  <c r="AW265" i="5"/>
  <c r="AX265" i="5"/>
  <c r="AX163" i="5"/>
  <c r="AW163" i="5"/>
  <c r="AW121" i="5"/>
  <c r="AX121" i="5"/>
  <c r="AX190" i="5"/>
  <c r="AW190" i="5"/>
  <c r="AW212" i="5"/>
  <c r="AX212" i="5"/>
  <c r="AX489" i="5"/>
  <c r="AW489" i="5"/>
  <c r="AX215" i="5"/>
  <c r="AW215" i="5"/>
  <c r="AX137" i="5"/>
  <c r="AW137" i="5"/>
  <c r="AX32" i="5"/>
  <c r="AW32" i="5"/>
  <c r="AW249" i="5"/>
  <c r="AX249" i="5"/>
  <c r="AX70" i="5"/>
  <c r="AW70" i="5"/>
  <c r="AW293" i="5"/>
  <c r="AX293" i="5"/>
  <c r="AX150" i="5"/>
  <c r="AW150" i="5"/>
  <c r="AX59" i="5"/>
  <c r="AW59" i="5"/>
  <c r="AX60" i="5"/>
  <c r="AW60" i="5"/>
  <c r="AW271" i="5"/>
  <c r="AX271" i="5"/>
  <c r="AW52" i="5"/>
  <c r="AX52" i="5"/>
  <c r="AW50" i="5"/>
  <c r="AX50" i="5"/>
  <c r="AX144" i="5"/>
  <c r="AW144" i="5"/>
  <c r="AX100" i="5"/>
  <c r="AW100" i="5"/>
  <c r="AW541" i="5"/>
  <c r="AX541" i="5"/>
  <c r="AW189" i="5"/>
  <c r="AX189" i="5"/>
  <c r="AX115" i="5"/>
  <c r="AW115" i="5"/>
  <c r="AX123" i="5"/>
  <c r="AW123" i="5"/>
  <c r="AX437" i="5"/>
  <c r="AW437" i="5"/>
  <c r="AX173" i="5"/>
  <c r="AW173" i="5"/>
  <c r="AW95" i="5"/>
  <c r="AX95" i="5"/>
  <c r="AX180" i="5"/>
  <c r="AW180" i="5"/>
  <c r="AX63" i="5"/>
  <c r="AW63" i="5"/>
  <c r="AX537" i="5"/>
  <c r="AW537" i="5"/>
  <c r="AX263" i="5"/>
  <c r="AW263" i="5"/>
  <c r="AW497" i="5"/>
  <c r="AX497" i="5"/>
  <c r="AW221" i="5"/>
  <c r="AX221" i="5"/>
  <c r="AW316" i="5"/>
  <c r="AX316" i="5"/>
  <c r="AX422" i="5"/>
  <c r="AW422" i="5"/>
  <c r="AW515" i="5"/>
  <c r="AX515" i="5"/>
  <c r="AW277" i="5"/>
  <c r="AX277" i="5"/>
  <c r="AW390" i="5"/>
  <c r="AX390" i="5"/>
  <c r="AX187" i="5"/>
  <c r="AW187" i="5"/>
  <c r="AX433" i="5"/>
  <c r="AW433" i="5"/>
  <c r="AW538" i="5"/>
  <c r="AX538" i="5"/>
  <c r="AW320" i="5"/>
  <c r="AX320" i="5"/>
  <c r="AX487" i="5"/>
  <c r="AW487" i="5"/>
  <c r="AX233" i="5"/>
  <c r="AW233" i="5"/>
  <c r="AX309" i="5"/>
  <c r="AW309" i="5"/>
  <c r="AX469" i="5"/>
  <c r="AW469" i="5"/>
  <c r="AX286" i="5"/>
  <c r="AW286" i="5"/>
  <c r="AX414" i="5"/>
  <c r="AW414" i="5"/>
  <c r="AW502" i="5"/>
  <c r="AX502" i="5"/>
  <c r="AX511" i="5"/>
  <c r="AW511" i="5"/>
  <c r="AW508" i="5"/>
  <c r="AX508" i="5"/>
  <c r="AW196" i="5"/>
  <c r="AX196" i="5"/>
  <c r="AX239" i="5"/>
  <c r="AW239" i="5"/>
  <c r="AW285" i="5"/>
  <c r="AX285" i="5"/>
  <c r="AX289" i="5"/>
  <c r="AW289" i="5"/>
  <c r="AX55" i="5"/>
  <c r="AW55" i="5"/>
  <c r="AX510" i="5"/>
  <c r="AW510" i="5"/>
  <c r="AX394" i="5"/>
  <c r="AW394" i="5"/>
  <c r="AX559" i="5"/>
  <c r="AW559" i="5"/>
  <c r="AX477" i="5"/>
  <c r="AW477" i="5"/>
  <c r="AX145" i="5"/>
  <c r="AW145" i="5"/>
  <c r="AW459" i="5"/>
  <c r="AX459" i="5"/>
  <c r="AX388" i="5"/>
  <c r="AW388" i="5"/>
  <c r="AW340" i="5"/>
  <c r="AX340" i="5"/>
  <c r="AW377" i="5"/>
  <c r="AX377" i="5"/>
  <c r="AW355" i="5"/>
  <c r="AX355" i="5"/>
  <c r="AX548" i="5"/>
  <c r="AW548" i="5"/>
  <c r="AX392" i="5"/>
  <c r="AW392" i="5"/>
  <c r="AX540" i="5"/>
  <c r="AW540" i="5"/>
  <c r="AW473" i="5"/>
  <c r="AX473" i="5"/>
  <c r="AX315" i="5"/>
  <c r="AW315" i="5"/>
  <c r="AW491" i="5"/>
  <c r="AX491" i="5"/>
  <c r="AX307" i="5"/>
  <c r="AW307" i="5"/>
  <c r="AX526" i="5"/>
  <c r="AW526" i="5"/>
  <c r="AX374" i="5"/>
  <c r="AW374" i="5"/>
  <c r="AX284" i="5"/>
  <c r="AW284" i="5"/>
  <c r="AX107" i="5"/>
  <c r="AW107" i="5"/>
  <c r="AX179" i="5"/>
  <c r="AW179" i="5"/>
  <c r="AW167" i="5"/>
  <c r="AX167" i="5"/>
  <c r="AW45" i="5"/>
  <c r="AX45" i="5"/>
  <c r="AW20" i="5"/>
  <c r="AX20" i="5"/>
  <c r="AX164" i="5"/>
  <c r="AW164" i="5"/>
  <c r="AX343" i="5"/>
  <c r="AW343" i="5"/>
  <c r="AX208" i="5"/>
  <c r="AW208" i="5"/>
  <c r="AX113" i="5"/>
  <c r="AW113" i="5"/>
  <c r="AX493" i="5"/>
  <c r="AW493" i="5"/>
  <c r="AX224" i="5"/>
  <c r="AW224" i="5"/>
  <c r="AW102" i="5"/>
  <c r="AX102" i="5"/>
  <c r="AX292" i="5"/>
  <c r="AW292" i="5"/>
  <c r="AX142" i="5"/>
  <c r="AW142" i="5"/>
  <c r="AX35" i="5"/>
  <c r="AW35" i="5"/>
  <c r="AX78" i="5"/>
  <c r="AW78" i="5"/>
  <c r="AW204" i="5"/>
  <c r="AX204" i="5"/>
  <c r="AW118" i="5"/>
  <c r="AX118" i="5"/>
  <c r="AW57" i="5"/>
  <c r="AX57" i="5"/>
  <c r="AX177" i="5"/>
  <c r="AW177" i="5"/>
  <c r="AX119" i="5"/>
  <c r="AW119" i="5"/>
  <c r="AW80" i="5"/>
  <c r="AX80" i="5"/>
  <c r="AW278" i="5"/>
  <c r="AX278" i="5"/>
  <c r="AX152" i="5"/>
  <c r="AW152" i="5"/>
  <c r="AX128" i="5"/>
  <c r="AW128" i="5"/>
  <c r="AW176" i="5"/>
  <c r="AX176" i="5"/>
  <c r="AX182" i="5"/>
  <c r="AW182" i="5"/>
  <c r="AW101" i="5"/>
  <c r="AX101" i="5"/>
  <c r="AX512" i="5"/>
  <c r="AW512" i="5"/>
  <c r="AW73" i="5"/>
  <c r="AX73" i="5"/>
  <c r="AW184" i="5"/>
  <c r="AX184" i="5"/>
  <c r="AX266" i="5"/>
  <c r="AW266" i="5"/>
  <c r="AW523" i="5"/>
  <c r="AX523" i="5"/>
  <c r="AW226" i="5"/>
  <c r="AX226" i="5"/>
  <c r="AX349" i="5"/>
  <c r="AW349" i="5"/>
  <c r="AX434" i="5"/>
  <c r="AW434" i="5"/>
  <c r="AX525" i="5"/>
  <c r="AW525" i="5"/>
  <c r="AW295" i="5"/>
  <c r="AX295" i="5"/>
  <c r="AX401" i="5"/>
  <c r="AW401" i="5"/>
  <c r="AX262" i="5"/>
  <c r="AW262" i="5"/>
  <c r="AX440" i="5"/>
  <c r="AW440" i="5"/>
  <c r="AX194" i="5"/>
  <c r="AW194" i="5"/>
  <c r="AW338" i="5"/>
  <c r="AX338" i="5"/>
  <c r="AX504" i="5"/>
  <c r="AW504" i="5"/>
  <c r="AW237" i="5"/>
  <c r="AX237" i="5"/>
  <c r="AX317" i="5"/>
  <c r="AW317" i="5"/>
  <c r="AW480" i="5"/>
  <c r="AX480" i="5"/>
  <c r="AW294" i="5"/>
  <c r="AX294" i="5"/>
  <c r="AX418" i="5"/>
  <c r="AW418" i="5"/>
  <c r="AW505" i="5"/>
  <c r="AX505" i="5"/>
  <c r="AW319" i="5"/>
  <c r="AX319" i="5"/>
  <c r="AX439" i="5"/>
  <c r="AW439" i="5"/>
  <c r="AX410" i="5"/>
  <c r="AW410" i="5"/>
  <c r="AX223" i="5"/>
  <c r="AW223" i="5"/>
  <c r="AX291" i="5"/>
  <c r="AW291" i="5"/>
  <c r="AX560" i="5"/>
  <c r="AW560" i="5"/>
  <c r="AW112" i="5"/>
  <c r="AX112" i="5"/>
  <c r="AX198" i="5"/>
  <c r="AW198" i="5"/>
  <c r="AX425" i="5"/>
  <c r="AW425" i="5"/>
  <c r="AX445" i="5"/>
  <c r="AW445" i="5"/>
  <c r="AW549" i="5"/>
  <c r="AX549" i="5"/>
  <c r="AX400" i="5"/>
  <c r="AW400" i="5"/>
  <c r="AX170" i="5"/>
  <c r="AW170" i="5"/>
  <c r="AW456" i="5"/>
  <c r="AX456" i="5"/>
  <c r="AX424" i="5"/>
  <c r="AW424" i="5"/>
  <c r="AW519" i="5"/>
  <c r="AX519" i="5"/>
  <c r="AX399" i="5"/>
  <c r="AW399" i="5"/>
  <c r="AX281" i="5"/>
  <c r="AW281" i="5"/>
  <c r="AX520" i="5"/>
  <c r="AW520" i="5"/>
  <c r="AW391" i="5"/>
  <c r="AX391" i="5"/>
  <c r="AX494" i="5"/>
  <c r="AW494" i="5"/>
  <c r="AX481" i="5"/>
  <c r="AW481" i="5"/>
  <c r="AX354" i="5"/>
  <c r="AW354" i="5"/>
  <c r="AX516" i="5"/>
  <c r="AW516" i="5"/>
  <c r="AX228" i="5"/>
  <c r="AW228" i="5"/>
  <c r="AW522" i="5"/>
  <c r="AX522" i="5"/>
  <c r="AX335" i="5"/>
  <c r="AW335" i="5"/>
  <c r="AW241" i="5"/>
  <c r="AX241" i="5"/>
  <c r="AX24" i="5"/>
  <c r="AW24" i="5"/>
  <c r="AW324" i="5"/>
  <c r="AX324" i="5"/>
  <c r="AX155" i="5"/>
  <c r="AW155" i="5"/>
  <c r="AW94" i="5"/>
  <c r="AX94" i="5"/>
  <c r="AW301" i="5"/>
  <c r="AX301" i="5"/>
  <c r="AX156" i="5"/>
  <c r="AW156" i="5"/>
  <c r="AX272" i="5"/>
  <c r="AW272" i="5"/>
  <c r="AX209" i="5"/>
  <c r="AW209" i="5"/>
  <c r="AW105" i="5"/>
  <c r="AX105" i="5"/>
  <c r="AX462" i="5"/>
  <c r="AW462" i="5"/>
  <c r="AX211" i="5"/>
  <c r="AW211" i="5"/>
  <c r="AX76" i="5"/>
  <c r="AW76" i="5"/>
  <c r="AW287" i="5"/>
  <c r="AX287" i="5"/>
  <c r="AX154" i="5"/>
  <c r="AW154" i="5"/>
  <c r="AX96" i="5"/>
  <c r="AW96" i="5"/>
  <c r="AW126" i="5"/>
  <c r="AX126" i="5"/>
  <c r="AX97" i="5"/>
  <c r="AW97" i="5"/>
  <c r="AW36" i="5"/>
  <c r="AX36" i="5"/>
  <c r="AX58" i="5"/>
  <c r="AW58" i="5"/>
  <c r="AX450" i="5"/>
  <c r="AW450" i="5"/>
  <c r="AW134" i="5"/>
  <c r="AX134" i="5"/>
  <c r="AW33" i="5"/>
  <c r="AX33" i="5"/>
  <c r="AW302" i="5"/>
  <c r="AX302" i="5"/>
  <c r="AX258" i="5"/>
  <c r="AW258" i="5"/>
  <c r="AW135" i="5"/>
  <c r="AX135" i="5"/>
  <c r="AX31" i="5"/>
  <c r="AW31" i="5"/>
  <c r="AX185" i="5"/>
  <c r="AW185" i="5"/>
  <c r="AX103" i="5"/>
  <c r="AW103" i="5"/>
  <c r="AX517" i="5"/>
  <c r="AW517" i="5"/>
  <c r="AW89" i="5"/>
  <c r="AX89" i="5"/>
  <c r="AX202" i="5"/>
  <c r="AW202" i="5"/>
  <c r="AX321" i="5"/>
  <c r="AW321" i="5"/>
  <c r="AX533" i="5"/>
  <c r="AW533" i="5"/>
  <c r="AW243" i="5"/>
  <c r="AX243" i="5"/>
  <c r="AW361" i="5"/>
  <c r="AX361" i="5"/>
  <c r="AX446" i="5"/>
  <c r="AW446" i="5"/>
  <c r="AX542" i="5"/>
  <c r="AW542" i="5"/>
  <c r="AX305" i="5"/>
  <c r="AW305" i="5"/>
  <c r="AX442" i="5"/>
  <c r="AW442" i="5"/>
  <c r="AW329" i="5"/>
  <c r="AX329" i="5"/>
  <c r="AX454" i="5"/>
  <c r="AW454" i="5"/>
  <c r="AW197" i="5"/>
  <c r="AX197" i="5"/>
  <c r="AW346" i="5"/>
  <c r="AX346" i="5"/>
  <c r="AX535" i="5"/>
  <c r="AW535" i="5"/>
  <c r="AW246" i="5"/>
  <c r="AX246" i="5"/>
  <c r="AW322" i="5"/>
  <c r="AX322" i="5"/>
  <c r="AW518" i="5"/>
  <c r="AX518" i="5"/>
  <c r="AX306" i="5"/>
  <c r="AW306" i="5"/>
  <c r="AX428" i="5"/>
  <c r="AW428" i="5"/>
  <c r="AW524" i="5"/>
  <c r="AX524" i="5"/>
  <c r="AX421" i="5"/>
  <c r="AW421" i="5"/>
  <c r="AX71" i="5"/>
  <c r="AW71" i="5"/>
  <c r="AW308" i="5"/>
  <c r="AX308" i="5"/>
  <c r="AX544" i="5"/>
  <c r="AW544" i="5"/>
  <c r="AX323" i="5"/>
  <c r="AW323" i="5"/>
  <c r="AX139" i="5"/>
  <c r="AW139" i="5"/>
  <c r="AX169" i="5"/>
  <c r="AW169" i="5"/>
  <c r="AX250" i="5"/>
  <c r="AW250" i="5"/>
  <c r="AX372" i="5"/>
  <c r="AW372" i="5"/>
  <c r="AX303" i="5"/>
  <c r="AW303" i="5"/>
  <c r="AX521" i="5"/>
  <c r="AW521" i="5"/>
  <c r="AX402" i="5"/>
  <c r="AW402" i="5"/>
  <c r="AW62" i="5"/>
  <c r="AX62" i="5"/>
  <c r="AX441" i="5"/>
  <c r="AW441" i="5"/>
  <c r="AX395" i="5"/>
  <c r="AW395" i="5"/>
  <c r="AX513" i="5"/>
  <c r="AW513" i="5"/>
  <c r="AW419" i="5"/>
  <c r="AX419" i="5"/>
  <c r="AX117" i="5"/>
  <c r="AW117" i="5"/>
  <c r="AX495" i="5"/>
  <c r="AW495" i="5"/>
  <c r="AX383" i="5"/>
  <c r="AW383" i="5"/>
  <c r="AX429" i="5"/>
  <c r="AW429" i="5"/>
  <c r="AX460" i="5"/>
  <c r="AW460" i="5"/>
  <c r="AX314" i="5"/>
  <c r="AW314" i="5"/>
  <c r="AW476" i="5"/>
  <c r="AX476" i="5"/>
  <c r="AX46" i="5"/>
  <c r="AW46" i="5"/>
  <c r="AX485" i="5"/>
  <c r="AW485" i="5"/>
  <c r="AX248" i="5"/>
  <c r="AW248" i="5"/>
  <c r="AX242" i="5"/>
  <c r="AW242" i="5"/>
  <c r="AW106" i="5"/>
  <c r="AX106" i="5"/>
  <c r="AX334" i="5"/>
  <c r="AW334" i="5"/>
  <c r="AX186" i="5"/>
  <c r="AW186" i="5"/>
  <c r="AW67" i="5"/>
  <c r="AX67" i="5"/>
  <c r="AW359" i="5"/>
  <c r="AX359" i="5"/>
  <c r="AW159" i="5"/>
  <c r="AX159" i="5"/>
  <c r="AX298" i="5"/>
  <c r="AW298" i="5"/>
  <c r="AW178" i="5"/>
  <c r="AX178" i="5"/>
  <c r="AX54" i="5"/>
  <c r="AW54" i="5"/>
  <c r="AW478" i="5"/>
  <c r="AX478" i="5"/>
  <c r="AX220" i="5"/>
  <c r="AW220" i="5"/>
  <c r="AX443" i="5"/>
  <c r="AW443" i="5"/>
  <c r="AX252" i="5"/>
  <c r="AW252" i="5"/>
  <c r="AW175" i="5"/>
  <c r="AX175" i="5"/>
  <c r="AX75" i="5"/>
  <c r="AW75" i="5"/>
  <c r="AX124" i="5"/>
  <c r="AW124" i="5"/>
  <c r="AX69" i="5"/>
  <c r="AW69" i="5"/>
  <c r="AX136" i="5"/>
  <c r="AW136" i="5"/>
  <c r="AW65" i="5"/>
  <c r="AX65" i="5"/>
  <c r="AW483" i="5"/>
  <c r="AX483" i="5"/>
  <c r="AX148" i="5"/>
  <c r="AW148" i="5"/>
  <c r="AX48" i="5"/>
  <c r="AW48" i="5"/>
  <c r="AX345" i="5"/>
  <c r="AW345" i="5"/>
  <c r="AW373" i="5"/>
  <c r="AX373" i="5"/>
  <c r="AW143" i="5"/>
  <c r="AX143" i="5"/>
  <c r="AX40" i="5"/>
  <c r="AW40" i="5"/>
  <c r="AX337" i="5"/>
  <c r="AW337" i="5"/>
  <c r="AW111" i="5"/>
  <c r="AX111" i="5"/>
  <c r="AW110" i="5"/>
  <c r="AX110" i="5"/>
  <c r="AX120" i="5"/>
  <c r="AW120" i="5"/>
  <c r="AW205" i="5"/>
  <c r="AX205" i="5"/>
  <c r="AX330" i="5"/>
  <c r="AW330" i="5"/>
  <c r="AW536" i="5"/>
  <c r="AX536" i="5"/>
  <c r="AW268" i="5"/>
  <c r="AX268" i="5"/>
  <c r="AX376" i="5"/>
  <c r="AW376" i="5"/>
  <c r="AW466" i="5"/>
  <c r="AX466" i="5"/>
  <c r="AX547" i="5"/>
  <c r="AW547" i="5"/>
  <c r="AX313" i="5"/>
  <c r="AW313" i="5"/>
  <c r="AW449" i="5"/>
  <c r="AX449" i="5"/>
  <c r="AX341" i="5"/>
  <c r="AW341" i="5"/>
  <c r="AW457" i="5"/>
  <c r="AX457" i="5"/>
  <c r="AW230" i="5"/>
  <c r="AX230" i="5"/>
  <c r="AX348" i="5"/>
  <c r="AW348" i="5"/>
  <c r="AX546" i="5"/>
  <c r="AW546" i="5"/>
  <c r="AX254" i="5"/>
  <c r="AW254" i="5"/>
  <c r="AW367" i="5"/>
  <c r="AX367" i="5"/>
  <c r="AX528" i="5"/>
  <c r="AW528" i="5"/>
  <c r="AX350" i="5"/>
  <c r="AW350" i="5"/>
  <c r="AX432" i="5"/>
  <c r="AW432" i="5"/>
  <c r="AX364" i="5"/>
  <c r="AW364" i="5"/>
  <c r="AW347" i="5"/>
  <c r="AX347" i="5"/>
  <c r="AX380" i="5"/>
  <c r="AW380" i="5"/>
  <c r="AX280" i="5"/>
  <c r="AW280" i="5"/>
  <c r="AW207" i="5"/>
  <c r="AX207" i="5"/>
  <c r="AX84" i="5"/>
  <c r="AW84" i="5"/>
  <c r="AW81" i="5"/>
  <c r="AX81" i="5"/>
  <c r="AW310" i="5"/>
  <c r="AX310" i="5"/>
  <c r="AX529" i="5"/>
  <c r="AW529" i="5"/>
  <c r="AX398" i="5"/>
  <c r="AW398" i="5"/>
  <c r="AX514" i="5"/>
  <c r="AW514" i="5"/>
  <c r="AX396" i="5"/>
  <c r="AW396" i="5"/>
  <c r="AX61" i="5"/>
  <c r="AW61" i="5"/>
  <c r="AX465" i="5"/>
  <c r="AW465" i="5"/>
  <c r="AX351" i="5"/>
  <c r="AW351" i="5"/>
  <c r="AW500" i="5"/>
  <c r="AX500" i="5"/>
  <c r="AW379" i="5"/>
  <c r="AX379" i="5"/>
  <c r="AW114" i="5"/>
  <c r="AX114" i="5"/>
  <c r="AW470" i="5"/>
  <c r="AX470" i="5"/>
  <c r="AX327" i="5"/>
  <c r="AW327" i="5"/>
  <c r="AW555" i="5"/>
  <c r="AX555" i="5"/>
  <c r="AX448" i="5"/>
  <c r="AW448" i="5"/>
  <c r="AX290" i="5"/>
  <c r="AW290" i="5"/>
  <c r="AW490" i="5"/>
  <c r="AX490" i="5"/>
  <c r="AX27" i="5"/>
  <c r="AW27" i="5"/>
  <c r="AW444" i="5"/>
  <c r="AX444" i="5"/>
  <c r="AW240" i="5"/>
  <c r="AX240" i="5"/>
  <c r="AW247" i="5"/>
  <c r="AX247" i="5"/>
  <c r="AX79" i="5"/>
  <c r="AW79" i="5"/>
  <c r="AW259" i="5"/>
  <c r="AX259" i="5"/>
  <c r="AX166" i="5"/>
  <c r="AW166" i="5"/>
  <c r="AW43" i="5"/>
  <c r="AX43" i="5"/>
  <c r="AW283" i="5"/>
  <c r="AX283" i="5"/>
  <c r="AX82" i="5"/>
  <c r="AW82" i="5"/>
  <c r="AX256" i="5"/>
  <c r="AW256" i="5"/>
  <c r="AX162" i="5"/>
  <c r="AW162" i="5"/>
  <c r="AX38" i="5"/>
  <c r="AW38" i="5"/>
  <c r="AW431" i="5"/>
  <c r="AX431" i="5"/>
  <c r="AX183" i="5"/>
  <c r="AW183" i="5"/>
  <c r="AX415" i="5"/>
  <c r="AW415" i="5"/>
  <c r="AX231" i="5"/>
  <c r="AW231" i="5"/>
  <c r="AW130" i="5"/>
  <c r="AX130" i="5"/>
  <c r="AX342" i="5"/>
  <c r="AW342" i="5"/>
  <c r="AW304" i="5"/>
  <c r="AX304" i="5"/>
  <c r="AX99" i="5"/>
  <c r="AW99" i="5"/>
  <c r="AW409" i="5"/>
  <c r="AX409" i="5"/>
  <c r="AX66" i="5"/>
  <c r="AW66" i="5"/>
  <c r="AX553" i="5"/>
  <c r="AW553" i="5"/>
  <c r="AX181" i="5"/>
  <c r="AW181" i="5"/>
  <c r="AX56" i="5"/>
  <c r="AW56" i="5"/>
  <c r="AW387" i="5"/>
  <c r="AX387" i="5"/>
  <c r="AW88" i="5"/>
  <c r="AX88" i="5"/>
  <c r="AX158" i="5"/>
  <c r="AW158" i="5"/>
  <c r="AX85" i="5"/>
  <c r="AW85" i="5"/>
  <c r="AW486" i="5"/>
  <c r="AX486" i="5"/>
  <c r="AX132" i="5"/>
  <c r="AW132" i="5"/>
  <c r="AX172" i="5"/>
  <c r="AW172" i="5"/>
  <c r="AX127" i="5"/>
  <c r="AW127" i="5"/>
  <c r="AW213" i="5"/>
  <c r="AX213" i="5"/>
  <c r="AW357" i="5"/>
  <c r="AX357" i="5"/>
  <c r="AX539" i="5"/>
  <c r="AW539" i="5"/>
  <c r="AX270" i="5"/>
  <c r="AW270" i="5"/>
  <c r="AX404" i="5"/>
  <c r="AW404" i="5"/>
  <c r="AX471" i="5"/>
  <c r="AW471" i="5"/>
  <c r="AX195" i="5"/>
  <c r="AW195" i="5"/>
  <c r="AX333" i="5"/>
  <c r="AW333" i="5"/>
  <c r="AX463" i="5"/>
  <c r="AW463" i="5"/>
  <c r="AX344" i="5"/>
  <c r="AW344" i="5"/>
  <c r="AW458" i="5"/>
  <c r="AX458" i="5"/>
  <c r="AX257" i="5"/>
  <c r="AW257" i="5"/>
  <c r="AW356" i="5"/>
  <c r="AX356" i="5"/>
  <c r="AW557" i="5"/>
  <c r="AX557" i="5"/>
  <c r="AW261" i="5"/>
  <c r="AX261" i="5"/>
  <c r="AW382" i="5"/>
  <c r="AX382" i="5"/>
  <c r="AX225" i="5"/>
  <c r="AW225" i="5"/>
  <c r="AX371" i="5"/>
  <c r="AW371" i="5"/>
  <c r="AX435" i="5"/>
  <c r="AW435" i="5"/>
  <c r="AX8" i="5"/>
  <c r="AW8" i="5"/>
  <c r="AU12" i="5"/>
  <c r="AT12" i="5"/>
  <c r="BA12" i="5"/>
  <c r="AZ12" i="5"/>
  <c r="AT7" i="5"/>
  <c r="AU7" i="5"/>
  <c r="AV13" i="5"/>
  <c r="AX12" i="5"/>
  <c r="AW12" i="5"/>
  <c r="AW7" i="5"/>
  <c r="AX7" i="5"/>
  <c r="AU8" i="5"/>
  <c r="AT8" i="5"/>
  <c r="G186" i="3"/>
  <c r="B194" i="3" s="1"/>
  <c r="BD404" i="5" l="1"/>
  <c r="BC404" i="5"/>
  <c r="BD341" i="5"/>
  <c r="BC341" i="5"/>
  <c r="BD242" i="5"/>
  <c r="BC242" i="5"/>
  <c r="BC33" i="5"/>
  <c r="BD33" i="5"/>
  <c r="BC445" i="5"/>
  <c r="BD445" i="5"/>
  <c r="BC177" i="5"/>
  <c r="BD177" i="5"/>
  <c r="BD137" i="5"/>
  <c r="BC137" i="5"/>
  <c r="BD430" i="5"/>
  <c r="BC430" i="5"/>
  <c r="BC447" i="5"/>
  <c r="BD447" i="5"/>
  <c r="BC479" i="5"/>
  <c r="BD479" i="5"/>
  <c r="BD83" i="5"/>
  <c r="BC83" i="5"/>
  <c r="BD371" i="5"/>
  <c r="BC371" i="5"/>
  <c r="BC357" i="5"/>
  <c r="BD357" i="5"/>
  <c r="BD88" i="5"/>
  <c r="BC88" i="5"/>
  <c r="BD304" i="5"/>
  <c r="BC304" i="5"/>
  <c r="BD162" i="5"/>
  <c r="BC162" i="5"/>
  <c r="BD247" i="5"/>
  <c r="BC247" i="5"/>
  <c r="BD327" i="5"/>
  <c r="BC327" i="5"/>
  <c r="BC396" i="5"/>
  <c r="BD396" i="5"/>
  <c r="BC280" i="5"/>
  <c r="BD280" i="5"/>
  <c r="BC254" i="5"/>
  <c r="BD254" i="5"/>
  <c r="BD547" i="5"/>
  <c r="BC547" i="5"/>
  <c r="BC110" i="5"/>
  <c r="BD110" i="5"/>
  <c r="BD148" i="5"/>
  <c r="BC148" i="5"/>
  <c r="BD252" i="5"/>
  <c r="BC252" i="5"/>
  <c r="BC359" i="5"/>
  <c r="BD359" i="5"/>
  <c r="BC46" i="5"/>
  <c r="BD46" i="5"/>
  <c r="BC419" i="5"/>
  <c r="BD419" i="5"/>
  <c r="BD372" i="5"/>
  <c r="BC372" i="5"/>
  <c r="BC421" i="5"/>
  <c r="BD421" i="5"/>
  <c r="BC346" i="5"/>
  <c r="BD346" i="5"/>
  <c r="BC361" i="5"/>
  <c r="BD361" i="5"/>
  <c r="BC185" i="5"/>
  <c r="BD185" i="5"/>
  <c r="BD58" i="5"/>
  <c r="BC58" i="5"/>
  <c r="BC211" i="5"/>
  <c r="BD211" i="5"/>
  <c r="BD155" i="5"/>
  <c r="BC155" i="5"/>
  <c r="BC354" i="5"/>
  <c r="BD354" i="5"/>
  <c r="BC424" i="5"/>
  <c r="BD424" i="5"/>
  <c r="BD112" i="5"/>
  <c r="BC112" i="5"/>
  <c r="BD418" i="5"/>
  <c r="BC418" i="5"/>
  <c r="BC440" i="5"/>
  <c r="BD440" i="5"/>
  <c r="BD523" i="5"/>
  <c r="BC523" i="5"/>
  <c r="BD128" i="5"/>
  <c r="BC128" i="5"/>
  <c r="BD204" i="5"/>
  <c r="BC204" i="5"/>
  <c r="BC113" i="5"/>
  <c r="BD113" i="5"/>
  <c r="BD107" i="5"/>
  <c r="BC107" i="5"/>
  <c r="BD540" i="5"/>
  <c r="BC540" i="5"/>
  <c r="BD145" i="5"/>
  <c r="BC145" i="5"/>
  <c r="BC239" i="5"/>
  <c r="BD239" i="5"/>
  <c r="BD309" i="5"/>
  <c r="BC309" i="5"/>
  <c r="BC277" i="5"/>
  <c r="BD277" i="5"/>
  <c r="BD63" i="5"/>
  <c r="BC63" i="5"/>
  <c r="BD541" i="5"/>
  <c r="BC541" i="5"/>
  <c r="BD150" i="5"/>
  <c r="BC150" i="5"/>
  <c r="BD212" i="5"/>
  <c r="BC212" i="5"/>
  <c r="BC534" i="5"/>
  <c r="BD534" i="5"/>
  <c r="BD318" i="5"/>
  <c r="BC318" i="5"/>
  <c r="BD496" i="5"/>
  <c r="BC496" i="5"/>
  <c r="BC527" i="5"/>
  <c r="BD527" i="5"/>
  <c r="BC384" i="5"/>
  <c r="BD384" i="5"/>
  <c r="BC412" i="5"/>
  <c r="BD412" i="5"/>
  <c r="BC74" i="5"/>
  <c r="BD74" i="5"/>
  <c r="BC131" i="5"/>
  <c r="BD131" i="5"/>
  <c r="BC133" i="5"/>
  <c r="BD133" i="5"/>
  <c r="BC125" i="5"/>
  <c r="BD125" i="5"/>
  <c r="BC44" i="5"/>
  <c r="BD44" i="5"/>
  <c r="BC288" i="5"/>
  <c r="BD288" i="5"/>
  <c r="BD417" i="5"/>
  <c r="BC417" i="5"/>
  <c r="BC468" i="5"/>
  <c r="BD468" i="5"/>
  <c r="BC484" i="5"/>
  <c r="BD484" i="5"/>
  <c r="BD556" i="5"/>
  <c r="BC556" i="5"/>
  <c r="BD161" i="5"/>
  <c r="BC161" i="5"/>
  <c r="BD77" i="5"/>
  <c r="BC77" i="5"/>
  <c r="BD22" i="5"/>
  <c r="BC22" i="5"/>
  <c r="BC21" i="5"/>
  <c r="BD21" i="5"/>
  <c r="BD558" i="5"/>
  <c r="BC558" i="5"/>
  <c r="BD296" i="5"/>
  <c r="BC296" i="5"/>
  <c r="BD426" i="5"/>
  <c r="BC426" i="5"/>
  <c r="BC166" i="5"/>
  <c r="BD166" i="5"/>
  <c r="BD124" i="5"/>
  <c r="BC124" i="5"/>
  <c r="BC544" i="5"/>
  <c r="BD544" i="5"/>
  <c r="BD156" i="5"/>
  <c r="BC156" i="5"/>
  <c r="BD434" i="5"/>
  <c r="BC434" i="5"/>
  <c r="BC414" i="5"/>
  <c r="BD414" i="5"/>
  <c r="BD203" i="5"/>
  <c r="BC203" i="5"/>
  <c r="BD29" i="5"/>
  <c r="BC29" i="5"/>
  <c r="BC545" i="5"/>
  <c r="BD545" i="5"/>
  <c r="BC116" i="5"/>
  <c r="BD116" i="5"/>
  <c r="BC344" i="5"/>
  <c r="BD344" i="5"/>
  <c r="BD261" i="5"/>
  <c r="BC261" i="5"/>
  <c r="BD195" i="5"/>
  <c r="BC195" i="5"/>
  <c r="BD172" i="5"/>
  <c r="BC172" i="5"/>
  <c r="BD181" i="5"/>
  <c r="BC181" i="5"/>
  <c r="BC231" i="5"/>
  <c r="BD231" i="5"/>
  <c r="BD283" i="5"/>
  <c r="BC283" i="5"/>
  <c r="BD27" i="5"/>
  <c r="BC27" i="5"/>
  <c r="BD379" i="5"/>
  <c r="BC379" i="5"/>
  <c r="BC529" i="5"/>
  <c r="BD529" i="5"/>
  <c r="BC364" i="5"/>
  <c r="BD364" i="5"/>
  <c r="BD230" i="5"/>
  <c r="BC230" i="5"/>
  <c r="BD268" i="5"/>
  <c r="BC268" i="5"/>
  <c r="BD40" i="5"/>
  <c r="BC40" i="5"/>
  <c r="BD136" i="5"/>
  <c r="BC136" i="5"/>
  <c r="BD478" i="5"/>
  <c r="BC478" i="5"/>
  <c r="BC334" i="5"/>
  <c r="BD334" i="5"/>
  <c r="BC460" i="5"/>
  <c r="BD460" i="5"/>
  <c r="BC441" i="5"/>
  <c r="BD441" i="5"/>
  <c r="BD139" i="5"/>
  <c r="BC139" i="5"/>
  <c r="BD306" i="5"/>
  <c r="BC306" i="5"/>
  <c r="BD329" i="5"/>
  <c r="BC329" i="5"/>
  <c r="BC321" i="5"/>
  <c r="BD321" i="5"/>
  <c r="BD258" i="5"/>
  <c r="BC258" i="5"/>
  <c r="BC126" i="5"/>
  <c r="BD126" i="5"/>
  <c r="BD209" i="5"/>
  <c r="BC209" i="5"/>
  <c r="BD241" i="5"/>
  <c r="BC241" i="5"/>
  <c r="BD391" i="5"/>
  <c r="BC391" i="5"/>
  <c r="BD400" i="5"/>
  <c r="BC400" i="5"/>
  <c r="BC223" i="5"/>
  <c r="BD223" i="5"/>
  <c r="BD317" i="5"/>
  <c r="BC317" i="5"/>
  <c r="BD295" i="5"/>
  <c r="BC295" i="5"/>
  <c r="BC73" i="5"/>
  <c r="BD73" i="5"/>
  <c r="BD80" i="5"/>
  <c r="BC80" i="5"/>
  <c r="BD142" i="5"/>
  <c r="BC142" i="5"/>
  <c r="BC164" i="5"/>
  <c r="BD164" i="5"/>
  <c r="BC526" i="5"/>
  <c r="BD526" i="5"/>
  <c r="BC355" i="5"/>
  <c r="BD355" i="5"/>
  <c r="BD394" i="5"/>
  <c r="BC394" i="5"/>
  <c r="BD511" i="5"/>
  <c r="BC511" i="5"/>
  <c r="BD320" i="5"/>
  <c r="BC320" i="5"/>
  <c r="BC316" i="5"/>
  <c r="BD316" i="5"/>
  <c r="BD173" i="5"/>
  <c r="BC173" i="5"/>
  <c r="BC50" i="5"/>
  <c r="BD50" i="5"/>
  <c r="BD249" i="5"/>
  <c r="BC249" i="5"/>
  <c r="BC163" i="5"/>
  <c r="BD163" i="5"/>
  <c r="BD363" i="5"/>
  <c r="BC363" i="5"/>
  <c r="BD397" i="5"/>
  <c r="BC397" i="5"/>
  <c r="BD325" i="5"/>
  <c r="BC325" i="5"/>
  <c r="BD389" i="5"/>
  <c r="BC389" i="5"/>
  <c r="BD385" i="5"/>
  <c r="BC385" i="5"/>
  <c r="BD368" i="5"/>
  <c r="BC368" i="5"/>
  <c r="BC108" i="5"/>
  <c r="BD108" i="5"/>
  <c r="BC282" i="5"/>
  <c r="BD282" i="5"/>
  <c r="BD146" i="5"/>
  <c r="BC146" i="5"/>
  <c r="BD216" i="5"/>
  <c r="BC216" i="5"/>
  <c r="BC188" i="5"/>
  <c r="BD188" i="5"/>
  <c r="BC332" i="5"/>
  <c r="BD332" i="5"/>
  <c r="BC90" i="5"/>
  <c r="BD90" i="5"/>
  <c r="BD406" i="5"/>
  <c r="BC406" i="5"/>
  <c r="BC336" i="5"/>
  <c r="BD336" i="5"/>
  <c r="BD153" i="5"/>
  <c r="BC153" i="5"/>
  <c r="BC64" i="5"/>
  <c r="BD64" i="5"/>
  <c r="BC140" i="5"/>
  <c r="BD140" i="5"/>
  <c r="BD452" i="5"/>
  <c r="BC452" i="5"/>
  <c r="BC30" i="5"/>
  <c r="BD30" i="5"/>
  <c r="BC543" i="5"/>
  <c r="BD543" i="5"/>
  <c r="BD393" i="5"/>
  <c r="BC393" i="5"/>
  <c r="BD183" i="5"/>
  <c r="BC183" i="5"/>
  <c r="BC350" i="5"/>
  <c r="BD350" i="5"/>
  <c r="BC305" i="5"/>
  <c r="BD305" i="5"/>
  <c r="BC522" i="5"/>
  <c r="BD522" i="5"/>
  <c r="BD491" i="5"/>
  <c r="BC491" i="5"/>
  <c r="BD271" i="5"/>
  <c r="BC271" i="5"/>
  <c r="BD91" i="5"/>
  <c r="BC91" i="5"/>
  <c r="BD378" i="5"/>
  <c r="BC378" i="5"/>
  <c r="BD257" i="5"/>
  <c r="BC257" i="5"/>
  <c r="BC431" i="5"/>
  <c r="BD431" i="5"/>
  <c r="BC259" i="5"/>
  <c r="BD259" i="5"/>
  <c r="BC448" i="5"/>
  <c r="BD448" i="5"/>
  <c r="BC465" i="5"/>
  <c r="BD465" i="5"/>
  <c r="BD84" i="5"/>
  <c r="BC84" i="5"/>
  <c r="BC528" i="5"/>
  <c r="BD528" i="5"/>
  <c r="BD449" i="5"/>
  <c r="BC449" i="5"/>
  <c r="BD205" i="5"/>
  <c r="BC205" i="5"/>
  <c r="BD345" i="5"/>
  <c r="BC345" i="5"/>
  <c r="BD75" i="5"/>
  <c r="BC75" i="5"/>
  <c r="BD298" i="5"/>
  <c r="BC298" i="5"/>
  <c r="BD248" i="5"/>
  <c r="BC248" i="5"/>
  <c r="BC495" i="5"/>
  <c r="BD495" i="5"/>
  <c r="BD521" i="5"/>
  <c r="BC521" i="5"/>
  <c r="BD308" i="5"/>
  <c r="BC308" i="5"/>
  <c r="BC246" i="5"/>
  <c r="BD246" i="5"/>
  <c r="BC542" i="5"/>
  <c r="BD542" i="5"/>
  <c r="BD517" i="5"/>
  <c r="BC517" i="5"/>
  <c r="BD134" i="5"/>
  <c r="BC134" i="5"/>
  <c r="BD287" i="5"/>
  <c r="BC287" i="5"/>
  <c r="BC301" i="5"/>
  <c r="BD301" i="5"/>
  <c r="BC228" i="5"/>
  <c r="BD228" i="5"/>
  <c r="BC399" i="5"/>
  <c r="BD399" i="5"/>
  <c r="BD425" i="5"/>
  <c r="BC425" i="5"/>
  <c r="BC319" i="5"/>
  <c r="BD319" i="5"/>
  <c r="BD338" i="5"/>
  <c r="BC338" i="5"/>
  <c r="BD349" i="5"/>
  <c r="BC349" i="5"/>
  <c r="BC182" i="5"/>
  <c r="BD182" i="5"/>
  <c r="BC57" i="5"/>
  <c r="BD57" i="5"/>
  <c r="BC224" i="5"/>
  <c r="BD224" i="5"/>
  <c r="BC167" i="5"/>
  <c r="BD167" i="5"/>
  <c r="BC315" i="5"/>
  <c r="BD315" i="5"/>
  <c r="BD388" i="5"/>
  <c r="BC388" i="5"/>
  <c r="BD289" i="5"/>
  <c r="BC289" i="5"/>
  <c r="BD286" i="5"/>
  <c r="BC286" i="5"/>
  <c r="BC187" i="5"/>
  <c r="BD187" i="5"/>
  <c r="BC263" i="5"/>
  <c r="BD263" i="5"/>
  <c r="BD115" i="5"/>
  <c r="BC115" i="5"/>
  <c r="BC60" i="5"/>
  <c r="BD60" i="5"/>
  <c r="BD215" i="5"/>
  <c r="BC215" i="5"/>
  <c r="BD328" i="5"/>
  <c r="BC328" i="5"/>
  <c r="BD413" i="5"/>
  <c r="BC413" i="5"/>
  <c r="BD472" i="5"/>
  <c r="BC472" i="5"/>
  <c r="BD51" i="5"/>
  <c r="BC51" i="5"/>
  <c r="BD279" i="5"/>
  <c r="BC279" i="5"/>
  <c r="BC235" i="5"/>
  <c r="BD235" i="5"/>
  <c r="BD47" i="5"/>
  <c r="BC47" i="5"/>
  <c r="BC210" i="5"/>
  <c r="BD210" i="5"/>
  <c r="BC191" i="5"/>
  <c r="BD191" i="5"/>
  <c r="BC269" i="5"/>
  <c r="BD269" i="5"/>
  <c r="BD362" i="5"/>
  <c r="BC362" i="5"/>
  <c r="BC369" i="5"/>
  <c r="BD369" i="5"/>
  <c r="BC251" i="5"/>
  <c r="BD251" i="5"/>
  <c r="BD464" i="5"/>
  <c r="BC464" i="5"/>
  <c r="BD365" i="5"/>
  <c r="BC365" i="5"/>
  <c r="BC407" i="5"/>
  <c r="BD407" i="5"/>
  <c r="BC23" i="5"/>
  <c r="BD23" i="5"/>
  <c r="BC86" i="5"/>
  <c r="BD86" i="5"/>
  <c r="BD129" i="5"/>
  <c r="BC129" i="5"/>
  <c r="BC138" i="5"/>
  <c r="BD138" i="5"/>
  <c r="BC171" i="5"/>
  <c r="BD171" i="5"/>
  <c r="BD331" i="5"/>
  <c r="BC331" i="5"/>
  <c r="BD168" i="5"/>
  <c r="BC168" i="5"/>
  <c r="BC66" i="5"/>
  <c r="BD66" i="5"/>
  <c r="BC330" i="5"/>
  <c r="BD330" i="5"/>
  <c r="BD402" i="5"/>
  <c r="BC402" i="5"/>
  <c r="BC439" i="5"/>
  <c r="BD439" i="5"/>
  <c r="BD102" i="5"/>
  <c r="BC102" i="5"/>
  <c r="BC497" i="5"/>
  <c r="BD497" i="5"/>
  <c r="BC353" i="5"/>
  <c r="BD353" i="5"/>
  <c r="BC552" i="5"/>
  <c r="BD552" i="5"/>
  <c r="BD461" i="5"/>
  <c r="BC461" i="5"/>
  <c r="BD225" i="5"/>
  <c r="BC225" i="5"/>
  <c r="BD213" i="5"/>
  <c r="BC213" i="5"/>
  <c r="BC387" i="5"/>
  <c r="BD387" i="5"/>
  <c r="BD342" i="5"/>
  <c r="BC342" i="5"/>
  <c r="BD256" i="5"/>
  <c r="BC256" i="5"/>
  <c r="BD240" i="5"/>
  <c r="BC240" i="5"/>
  <c r="BD470" i="5"/>
  <c r="BC470" i="5"/>
  <c r="BD514" i="5"/>
  <c r="BC514" i="5"/>
  <c r="BC380" i="5"/>
  <c r="BD380" i="5"/>
  <c r="BC546" i="5"/>
  <c r="BD546" i="5"/>
  <c r="BC466" i="5"/>
  <c r="BD466" i="5"/>
  <c r="BD111" i="5"/>
  <c r="BC111" i="5"/>
  <c r="BC483" i="5"/>
  <c r="BD483" i="5"/>
  <c r="BC443" i="5"/>
  <c r="BD443" i="5"/>
  <c r="BD67" i="5"/>
  <c r="BC67" i="5"/>
  <c r="BC476" i="5"/>
  <c r="BD476" i="5"/>
  <c r="BC513" i="5"/>
  <c r="BD513" i="5"/>
  <c r="BD250" i="5"/>
  <c r="BC250" i="5"/>
  <c r="BC524" i="5"/>
  <c r="BD524" i="5"/>
  <c r="BD197" i="5"/>
  <c r="BC197" i="5"/>
  <c r="BD243" i="5"/>
  <c r="BC243" i="5"/>
  <c r="BC31" i="5"/>
  <c r="BD31" i="5"/>
  <c r="BD36" i="5"/>
  <c r="BC36" i="5"/>
  <c r="BC462" i="5"/>
  <c r="BD462" i="5"/>
  <c r="BC324" i="5"/>
  <c r="BD324" i="5"/>
  <c r="BC481" i="5"/>
  <c r="BD481" i="5"/>
  <c r="BC456" i="5"/>
  <c r="BD456" i="5"/>
  <c r="BD560" i="5"/>
  <c r="BC560" i="5"/>
  <c r="BD294" i="5"/>
  <c r="BC294" i="5"/>
  <c r="BC262" i="5"/>
  <c r="BD262" i="5"/>
  <c r="BC266" i="5"/>
  <c r="BD266" i="5"/>
  <c r="BC152" i="5"/>
  <c r="BD152" i="5"/>
  <c r="BD78" i="5"/>
  <c r="BC78" i="5"/>
  <c r="BC208" i="5"/>
  <c r="BD208" i="5"/>
  <c r="BD284" i="5"/>
  <c r="BC284" i="5"/>
  <c r="BD392" i="5"/>
  <c r="BC392" i="5"/>
  <c r="BD477" i="5"/>
  <c r="BC477" i="5"/>
  <c r="BD196" i="5"/>
  <c r="BC196" i="5"/>
  <c r="BD233" i="5"/>
  <c r="BC233" i="5"/>
  <c r="BD515" i="5"/>
  <c r="BC515" i="5"/>
  <c r="BC180" i="5"/>
  <c r="BD180" i="5"/>
  <c r="BD100" i="5"/>
  <c r="BC100" i="5"/>
  <c r="BD293" i="5"/>
  <c r="BC293" i="5"/>
  <c r="BD190" i="5"/>
  <c r="BC190" i="5"/>
  <c r="BD360" i="5"/>
  <c r="BC360" i="5"/>
  <c r="BD403" i="5"/>
  <c r="BC403" i="5"/>
  <c r="BC218" i="5"/>
  <c r="BD218" i="5"/>
  <c r="BC503" i="5"/>
  <c r="BD503" i="5"/>
  <c r="BC273" i="5"/>
  <c r="BD273" i="5"/>
  <c r="BD300" i="5"/>
  <c r="BC300" i="5"/>
  <c r="BD160" i="5"/>
  <c r="BC160" i="5"/>
  <c r="BC42" i="5"/>
  <c r="BD42" i="5"/>
  <c r="BD234" i="5"/>
  <c r="BC234" i="5"/>
  <c r="BD253" i="5"/>
  <c r="BC253" i="5"/>
  <c r="BD408" i="5"/>
  <c r="BC408" i="5"/>
  <c r="BC438" i="5"/>
  <c r="BD438" i="5"/>
  <c r="BD423" i="5"/>
  <c r="BC423" i="5"/>
  <c r="BD375" i="5"/>
  <c r="BC375" i="5"/>
  <c r="BC358" i="5"/>
  <c r="BD358" i="5"/>
  <c r="BC366" i="5"/>
  <c r="BD366" i="5"/>
  <c r="BC104" i="5"/>
  <c r="BD104" i="5"/>
  <c r="BD297" i="5"/>
  <c r="BC297" i="5"/>
  <c r="BC147" i="5"/>
  <c r="BD147" i="5"/>
  <c r="BC19" i="5"/>
  <c r="BD19" i="5"/>
  <c r="BD232" i="5"/>
  <c r="BC232" i="5"/>
  <c r="BD312" i="5"/>
  <c r="BC312" i="5"/>
  <c r="BD339" i="5"/>
  <c r="BC339" i="5"/>
  <c r="BD141" i="5"/>
  <c r="BC141" i="5"/>
  <c r="BC486" i="5"/>
  <c r="BD486" i="5"/>
  <c r="BC351" i="5"/>
  <c r="BD351" i="5"/>
  <c r="BD373" i="5"/>
  <c r="BC373" i="5"/>
  <c r="BC154" i="5"/>
  <c r="BD154" i="5"/>
  <c r="BD504" i="5"/>
  <c r="BC504" i="5"/>
  <c r="BD45" i="5"/>
  <c r="BC45" i="5"/>
  <c r="BC433" i="5"/>
  <c r="BD433" i="5"/>
  <c r="BC200" i="5"/>
  <c r="BD200" i="5"/>
  <c r="BD109" i="5"/>
  <c r="BC109" i="5"/>
  <c r="BC149" i="5"/>
  <c r="BD149" i="5"/>
  <c r="BC85" i="5"/>
  <c r="BD85" i="5"/>
  <c r="BD471" i="5"/>
  <c r="BC471" i="5"/>
  <c r="BC132" i="5"/>
  <c r="BD132" i="5"/>
  <c r="BD553" i="5"/>
  <c r="BC553" i="5"/>
  <c r="BC415" i="5"/>
  <c r="BD415" i="5"/>
  <c r="BC43" i="5"/>
  <c r="BD43" i="5"/>
  <c r="BD490" i="5"/>
  <c r="BC490" i="5"/>
  <c r="BD500" i="5"/>
  <c r="BC500" i="5"/>
  <c r="BC310" i="5"/>
  <c r="BD310" i="5"/>
  <c r="BC432" i="5"/>
  <c r="BD432" i="5"/>
  <c r="BC457" i="5"/>
  <c r="BD457" i="5"/>
  <c r="BD536" i="5"/>
  <c r="BC536" i="5"/>
  <c r="BD143" i="5"/>
  <c r="BC143" i="5"/>
  <c r="BC69" i="5"/>
  <c r="BD69" i="5"/>
  <c r="BC54" i="5"/>
  <c r="BD54" i="5"/>
  <c r="BD106" i="5"/>
  <c r="BC106" i="5"/>
  <c r="BC429" i="5"/>
  <c r="BD429" i="5"/>
  <c r="BC62" i="5"/>
  <c r="BD62" i="5"/>
  <c r="BC323" i="5"/>
  <c r="BD323" i="5"/>
  <c r="BD518" i="5"/>
  <c r="BC518" i="5"/>
  <c r="BC442" i="5"/>
  <c r="BD442" i="5"/>
  <c r="BC202" i="5"/>
  <c r="BD202" i="5"/>
  <c r="BC302" i="5"/>
  <c r="BD302" i="5"/>
  <c r="BD96" i="5"/>
  <c r="BC96" i="5"/>
  <c r="BD272" i="5"/>
  <c r="BC272" i="5"/>
  <c r="BD335" i="5"/>
  <c r="BC335" i="5"/>
  <c r="BC520" i="5"/>
  <c r="BD520" i="5"/>
  <c r="BC549" i="5"/>
  <c r="BD549" i="5"/>
  <c r="BC410" i="5"/>
  <c r="BD410" i="5"/>
  <c r="BC237" i="5"/>
  <c r="BD237" i="5"/>
  <c r="BD525" i="5"/>
  <c r="BC525" i="5"/>
  <c r="BC512" i="5"/>
  <c r="BD512" i="5"/>
  <c r="BD119" i="5"/>
  <c r="BC119" i="5"/>
  <c r="BC292" i="5"/>
  <c r="BD292" i="5"/>
  <c r="BD20" i="5"/>
  <c r="BC20" i="5"/>
  <c r="BD307" i="5"/>
  <c r="BC307" i="5"/>
  <c r="BD377" i="5"/>
  <c r="BC377" i="5"/>
  <c r="BC510" i="5"/>
  <c r="BD510" i="5"/>
  <c r="BC502" i="5"/>
  <c r="BD502" i="5"/>
  <c r="BD538" i="5"/>
  <c r="BC538" i="5"/>
  <c r="BD221" i="5"/>
  <c r="BC221" i="5"/>
  <c r="BD437" i="5"/>
  <c r="BC437" i="5"/>
  <c r="BC52" i="5"/>
  <c r="BD52" i="5"/>
  <c r="BD32" i="5"/>
  <c r="BC32" i="5"/>
  <c r="BD265" i="5"/>
  <c r="BC265" i="5"/>
  <c r="BC488" i="5"/>
  <c r="BD488" i="5"/>
  <c r="BD501" i="5"/>
  <c r="BC501" i="5"/>
  <c r="BC34" i="5"/>
  <c r="BD34" i="5"/>
  <c r="BD229" i="5"/>
  <c r="BC229" i="5"/>
  <c r="BC482" i="5"/>
  <c r="BD482" i="5"/>
  <c r="BC245" i="5"/>
  <c r="BD245" i="5"/>
  <c r="BD551" i="5"/>
  <c r="BC551" i="5"/>
  <c r="BD217" i="5"/>
  <c r="BC217" i="5"/>
  <c r="BC244" i="5"/>
  <c r="BD244" i="5"/>
  <c r="BD28" i="5"/>
  <c r="BC28" i="5"/>
  <c r="BD451" i="5"/>
  <c r="BC451" i="5"/>
  <c r="BC499" i="5"/>
  <c r="BD499" i="5"/>
  <c r="BD122" i="5"/>
  <c r="BC122" i="5"/>
  <c r="BD276" i="5"/>
  <c r="BC276" i="5"/>
  <c r="BD219" i="5"/>
  <c r="BC219" i="5"/>
  <c r="BD26" i="5"/>
  <c r="BC26" i="5"/>
  <c r="BC192" i="5"/>
  <c r="BD192" i="5"/>
  <c r="BD236" i="5"/>
  <c r="BC236" i="5"/>
  <c r="BD264" i="5"/>
  <c r="BC264" i="5"/>
  <c r="BD550" i="5"/>
  <c r="BC550" i="5"/>
  <c r="BC370" i="5"/>
  <c r="BD370" i="5"/>
  <c r="BC299" i="5"/>
  <c r="BD299" i="5"/>
  <c r="BD411" i="5"/>
  <c r="BC411" i="5"/>
  <c r="BD290" i="5"/>
  <c r="BC290" i="5"/>
  <c r="BC178" i="5"/>
  <c r="BD178" i="5"/>
  <c r="BD322" i="5"/>
  <c r="BC322" i="5"/>
  <c r="BD101" i="5"/>
  <c r="BC101" i="5"/>
  <c r="BD55" i="5"/>
  <c r="BC55" i="5"/>
  <c r="BD68" i="5"/>
  <c r="BC68" i="5"/>
  <c r="BD98" i="5"/>
  <c r="BC98" i="5"/>
  <c r="BD206" i="5"/>
  <c r="BC206" i="5"/>
  <c r="BC420" i="5"/>
  <c r="BD420" i="5"/>
  <c r="BD409" i="5"/>
  <c r="BC409" i="5"/>
  <c r="BC463" i="5"/>
  <c r="BD463" i="5"/>
  <c r="BD557" i="5"/>
  <c r="BC557" i="5"/>
  <c r="BC435" i="5"/>
  <c r="BD435" i="5"/>
  <c r="BD458" i="5"/>
  <c r="BC458" i="5"/>
  <c r="BC539" i="5"/>
  <c r="BD539" i="5"/>
  <c r="BD158" i="5"/>
  <c r="BC158" i="5"/>
  <c r="BD99" i="5"/>
  <c r="BC99" i="5"/>
  <c r="BC38" i="5"/>
  <c r="BD38" i="5"/>
  <c r="BD79" i="5"/>
  <c r="BC79" i="5"/>
  <c r="BC555" i="5"/>
  <c r="BD555" i="5"/>
  <c r="BD61" i="5"/>
  <c r="BC61" i="5"/>
  <c r="BD207" i="5"/>
  <c r="BC207" i="5"/>
  <c r="BD367" i="5"/>
  <c r="BC367" i="5"/>
  <c r="BC313" i="5"/>
  <c r="BD313" i="5"/>
  <c r="BD120" i="5"/>
  <c r="BC120" i="5"/>
  <c r="BD48" i="5"/>
  <c r="BC48" i="5"/>
  <c r="BD175" i="5"/>
  <c r="BC175" i="5"/>
  <c r="BD159" i="5"/>
  <c r="BC159" i="5"/>
  <c r="BC485" i="5"/>
  <c r="BD485" i="5"/>
  <c r="BD117" i="5"/>
  <c r="BC117" i="5"/>
  <c r="BD303" i="5"/>
  <c r="BC303" i="5"/>
  <c r="BC71" i="5"/>
  <c r="BD71" i="5"/>
  <c r="BD535" i="5"/>
  <c r="BC535" i="5"/>
  <c r="BC446" i="5"/>
  <c r="BD446" i="5"/>
  <c r="BD103" i="5"/>
  <c r="BC103" i="5"/>
  <c r="BD450" i="5"/>
  <c r="BC450" i="5"/>
  <c r="BC76" i="5"/>
  <c r="BD76" i="5"/>
  <c r="BC94" i="5"/>
  <c r="BD94" i="5"/>
  <c r="BD516" i="5"/>
  <c r="BC516" i="5"/>
  <c r="BD519" i="5"/>
  <c r="BC519" i="5"/>
  <c r="BD198" i="5"/>
  <c r="BC198" i="5"/>
  <c r="BD505" i="5"/>
  <c r="BC505" i="5"/>
  <c r="BC194" i="5"/>
  <c r="BD194" i="5"/>
  <c r="BD226" i="5"/>
  <c r="BC226" i="5"/>
  <c r="BC176" i="5"/>
  <c r="BD176" i="5"/>
  <c r="BD118" i="5"/>
  <c r="BC118" i="5"/>
  <c r="BD493" i="5"/>
  <c r="BC493" i="5"/>
  <c r="BC179" i="5"/>
  <c r="BD179" i="5"/>
  <c r="BC473" i="5"/>
  <c r="BD473" i="5"/>
  <c r="BD459" i="5"/>
  <c r="BC459" i="5"/>
  <c r="BD285" i="5"/>
  <c r="BC285" i="5"/>
  <c r="BC469" i="5"/>
  <c r="BD469" i="5"/>
  <c r="BC390" i="5"/>
  <c r="BD390" i="5"/>
  <c r="BD537" i="5"/>
  <c r="BC537" i="5"/>
  <c r="BC189" i="5"/>
  <c r="BD189" i="5"/>
  <c r="BD59" i="5"/>
  <c r="BC59" i="5"/>
  <c r="BC489" i="5"/>
  <c r="BD489" i="5"/>
  <c r="BD381" i="5"/>
  <c r="BC381" i="5"/>
  <c r="BC199" i="5"/>
  <c r="BD199" i="5"/>
  <c r="BD274" i="5"/>
  <c r="BC274" i="5"/>
  <c r="BD201" i="5"/>
  <c r="BC201" i="5"/>
  <c r="BD214" i="5"/>
  <c r="BC214" i="5"/>
  <c r="BD509" i="5"/>
  <c r="BC509" i="5"/>
  <c r="BC151" i="5"/>
  <c r="BD151" i="5"/>
  <c r="BD39" i="5"/>
  <c r="BC39" i="5"/>
  <c r="BC311" i="5"/>
  <c r="BD311" i="5"/>
  <c r="BC93" i="5"/>
  <c r="BD93" i="5"/>
  <c r="BD386" i="5"/>
  <c r="BC386" i="5"/>
  <c r="BC455" i="5"/>
  <c r="BD455" i="5"/>
  <c r="BD532" i="5"/>
  <c r="BC532" i="5"/>
  <c r="BC467" i="5"/>
  <c r="BD467" i="5"/>
  <c r="BD267" i="5"/>
  <c r="BC267" i="5"/>
  <c r="BD275" i="5"/>
  <c r="BC275" i="5"/>
  <c r="BC87" i="5"/>
  <c r="BD87" i="5"/>
  <c r="BC41" i="5"/>
  <c r="BD41" i="5"/>
  <c r="BC506" i="5"/>
  <c r="BD506" i="5"/>
  <c r="BC260" i="5"/>
  <c r="BD260" i="5"/>
  <c r="BC436" i="5"/>
  <c r="BD436" i="5"/>
  <c r="BC427" i="5"/>
  <c r="BD427" i="5"/>
  <c r="BC174" i="5"/>
  <c r="BD174" i="5"/>
  <c r="BC356" i="5"/>
  <c r="BD356" i="5"/>
  <c r="BD81" i="5"/>
  <c r="BC81" i="5"/>
  <c r="BC383" i="5"/>
  <c r="BD383" i="5"/>
  <c r="BD89" i="5"/>
  <c r="BC89" i="5"/>
  <c r="BD281" i="5"/>
  <c r="BC281" i="5"/>
  <c r="BC340" i="5"/>
  <c r="BD340" i="5"/>
  <c r="BD123" i="5"/>
  <c r="BC123" i="5"/>
  <c r="BD157" i="5"/>
  <c r="BC157" i="5"/>
  <c r="BD416" i="5"/>
  <c r="BC416" i="5"/>
  <c r="BC25" i="5"/>
  <c r="BD25" i="5"/>
  <c r="BD270" i="5"/>
  <c r="BC270" i="5"/>
  <c r="BD382" i="5"/>
  <c r="BC382" i="5"/>
  <c r="BD333" i="5"/>
  <c r="BC333" i="5"/>
  <c r="BD127" i="5"/>
  <c r="BC127" i="5"/>
  <c r="BC56" i="5"/>
  <c r="BD56" i="5"/>
  <c r="BD130" i="5"/>
  <c r="BC130" i="5"/>
  <c r="BC82" i="5"/>
  <c r="BD82" i="5"/>
  <c r="BC444" i="5"/>
  <c r="BD444" i="5"/>
  <c r="BD114" i="5"/>
  <c r="BC114" i="5"/>
  <c r="BC398" i="5"/>
  <c r="BD398" i="5"/>
  <c r="BC347" i="5"/>
  <c r="BD347" i="5"/>
  <c r="BC348" i="5"/>
  <c r="BD348" i="5"/>
  <c r="BD376" i="5"/>
  <c r="BC376" i="5"/>
  <c r="BD337" i="5"/>
  <c r="BC337" i="5"/>
  <c r="BD65" i="5"/>
  <c r="BC65" i="5"/>
  <c r="BC220" i="5"/>
  <c r="BD220" i="5"/>
  <c r="BD186" i="5"/>
  <c r="BC186" i="5"/>
  <c r="BC314" i="5"/>
  <c r="BD314" i="5"/>
  <c r="BC395" i="5"/>
  <c r="BD395" i="5"/>
  <c r="BC169" i="5"/>
  <c r="BD169" i="5"/>
  <c r="BD428" i="5"/>
  <c r="BC428" i="5"/>
  <c r="BD454" i="5"/>
  <c r="BC454" i="5"/>
  <c r="BC533" i="5"/>
  <c r="BD533" i="5"/>
  <c r="BD135" i="5"/>
  <c r="BC135" i="5"/>
  <c r="BC97" i="5"/>
  <c r="BD97" i="5"/>
  <c r="BC105" i="5"/>
  <c r="BD105" i="5"/>
  <c r="BD24" i="5"/>
  <c r="BC24" i="5"/>
  <c r="BC494" i="5"/>
  <c r="BD494" i="5"/>
  <c r="BC170" i="5"/>
  <c r="BD170" i="5"/>
  <c r="BC291" i="5"/>
  <c r="BD291" i="5"/>
  <c r="BC480" i="5"/>
  <c r="BD480" i="5"/>
  <c r="BC401" i="5"/>
  <c r="BD401" i="5"/>
  <c r="BD184" i="5"/>
  <c r="BC184" i="5"/>
  <c r="BD278" i="5"/>
  <c r="BC278" i="5"/>
  <c r="BD35" i="5"/>
  <c r="BC35" i="5"/>
  <c r="BD343" i="5"/>
  <c r="BC343" i="5"/>
  <c r="BC374" i="5"/>
  <c r="BD374" i="5"/>
  <c r="BC548" i="5"/>
  <c r="BD548" i="5"/>
  <c r="BC559" i="5"/>
  <c r="BD559" i="5"/>
  <c r="BD508" i="5"/>
  <c r="BC508" i="5"/>
  <c r="BD487" i="5"/>
  <c r="BC487" i="5"/>
  <c r="BC422" i="5"/>
  <c r="BD422" i="5"/>
  <c r="BD95" i="5"/>
  <c r="BC95" i="5"/>
  <c r="BD144" i="5"/>
  <c r="BC144" i="5"/>
  <c r="BD70" i="5"/>
  <c r="BC70" i="5"/>
  <c r="BC121" i="5"/>
  <c r="BD121" i="5"/>
  <c r="BD531" i="5"/>
  <c r="BC531" i="5"/>
  <c r="BD352" i="5"/>
  <c r="BC352" i="5"/>
  <c r="BD238" i="5"/>
  <c r="BC238" i="5"/>
  <c r="BC475" i="5"/>
  <c r="BD475" i="5"/>
  <c r="BD498" i="5"/>
  <c r="BC498" i="5"/>
  <c r="BD193" i="5"/>
  <c r="BC193" i="5"/>
  <c r="BD165" i="5"/>
  <c r="BC165" i="5"/>
  <c r="BD492" i="5"/>
  <c r="BC492" i="5"/>
  <c r="BD92" i="5"/>
  <c r="BC92" i="5"/>
  <c r="BD53" i="5"/>
  <c r="BC53" i="5"/>
  <c r="BC554" i="5"/>
  <c r="BD554" i="5"/>
  <c r="BD530" i="5"/>
  <c r="BC530" i="5"/>
  <c r="BD49" i="5"/>
  <c r="BC49" i="5"/>
  <c r="BD227" i="5"/>
  <c r="BC227" i="5"/>
  <c r="BC474" i="5"/>
  <c r="BD474" i="5"/>
  <c r="BC222" i="5"/>
  <c r="BD222" i="5"/>
  <c r="BD405" i="5"/>
  <c r="BC405" i="5"/>
  <c r="BC326" i="5"/>
  <c r="BD326" i="5"/>
  <c r="BC255" i="5"/>
  <c r="BD255" i="5"/>
  <c r="BD37" i="5"/>
  <c r="BC37" i="5"/>
  <c r="BC453" i="5"/>
  <c r="BD453" i="5"/>
  <c r="BC507" i="5"/>
  <c r="BD507" i="5"/>
  <c r="BC72" i="5"/>
  <c r="BD72" i="5"/>
  <c r="AX13" i="5"/>
  <c r="AW13" i="5"/>
  <c r="BA13" i="5"/>
  <c r="AZ13" i="5"/>
  <c r="AU13" i="5"/>
  <c r="AT13" i="5"/>
  <c r="B191" i="3"/>
  <c r="I76" i="2" s="1"/>
  <c r="G183" i="3"/>
  <c r="B54" i="5" l="1"/>
  <c r="B117" i="3" l="1"/>
  <c r="B115" i="3"/>
  <c r="B42" i="5" l="1"/>
  <c r="B141" i="3"/>
  <c r="B70" i="5"/>
  <c r="AI440" i="5" s="1"/>
  <c r="AR13" i="5"/>
  <c r="BB13" i="5" s="1"/>
  <c r="AR11" i="5"/>
  <c r="AR10" i="5"/>
  <c r="AR7" i="5"/>
  <c r="BB7" i="5" s="1"/>
  <c r="AR9" i="5"/>
  <c r="AR8" i="5"/>
  <c r="BB8" i="5" s="1"/>
  <c r="AR12" i="5"/>
  <c r="BB12" i="5" s="1"/>
  <c r="B123" i="3"/>
  <c r="B101" i="3"/>
  <c r="B24" i="5" s="1"/>
  <c r="B26" i="5" s="1"/>
  <c r="B47" i="5" s="1"/>
  <c r="B98" i="3"/>
  <c r="B87" i="3"/>
  <c r="B82" i="3"/>
  <c r="B43" i="3"/>
  <c r="B42" i="3"/>
  <c r="O15" i="8" s="1"/>
  <c r="B40" i="3"/>
  <c r="AI418" i="5" l="1"/>
  <c r="AI447" i="5"/>
  <c r="AI553" i="5"/>
  <c r="AI501" i="5"/>
  <c r="AJ501" i="5" s="1"/>
  <c r="AI518" i="5"/>
  <c r="AK518" i="5" s="1"/>
  <c r="AI507" i="5"/>
  <c r="AJ507" i="5" s="1"/>
  <c r="AI413" i="5"/>
  <c r="AI7" i="5"/>
  <c r="AK7" i="5" s="1"/>
  <c r="AI539" i="5"/>
  <c r="AK539" i="5" s="1"/>
  <c r="AI551" i="5"/>
  <c r="AI486" i="5"/>
  <c r="AJ486" i="5" s="1"/>
  <c r="AI470" i="5"/>
  <c r="AK470" i="5" s="1"/>
  <c r="AI530" i="5"/>
  <c r="AI490" i="5"/>
  <c r="AI557" i="5"/>
  <c r="AI484" i="5"/>
  <c r="AK484" i="5" s="1"/>
  <c r="AI295" i="5"/>
  <c r="AJ295" i="5" s="1"/>
  <c r="AI307" i="5"/>
  <c r="AJ307" i="5" s="1"/>
  <c r="AI260" i="5"/>
  <c r="AJ260" i="5" s="1"/>
  <c r="AI524" i="5"/>
  <c r="AK524" i="5" s="1"/>
  <c r="AI527" i="5"/>
  <c r="AK527" i="5" s="1"/>
  <c r="AI263" i="5"/>
  <c r="AI13" i="5"/>
  <c r="AK13" i="5" s="1"/>
  <c r="AI542" i="5"/>
  <c r="AK542" i="5" s="1"/>
  <c r="AI446" i="5"/>
  <c r="AJ446" i="5" s="1"/>
  <c r="AI499" i="5"/>
  <c r="AK499" i="5" s="1"/>
  <c r="AI466" i="5"/>
  <c r="AJ466" i="5" s="1"/>
  <c r="AI472" i="5"/>
  <c r="AJ472" i="5" s="1"/>
  <c r="AI460" i="5"/>
  <c r="AK460" i="5" s="1"/>
  <c r="AI410" i="5"/>
  <c r="AJ410" i="5" s="1"/>
  <c r="AI521" i="5"/>
  <c r="AI435" i="5"/>
  <c r="AJ435" i="5" s="1"/>
  <c r="AI444" i="5"/>
  <c r="AK444" i="5" s="1"/>
  <c r="AI438" i="5"/>
  <c r="AJ438" i="5" s="1"/>
  <c r="AI334" i="5"/>
  <c r="AK334" i="5" s="1"/>
  <c r="AI516" i="5"/>
  <c r="AJ516" i="5" s="1"/>
  <c r="AI204" i="5"/>
  <c r="AI284" i="5"/>
  <c r="AI306" i="5"/>
  <c r="AI237" i="5"/>
  <c r="AK237" i="5" s="1"/>
  <c r="AI469" i="5"/>
  <c r="AK469" i="5" s="1"/>
  <c r="AI379" i="5"/>
  <c r="AK379" i="5" s="1"/>
  <c r="AI465" i="5"/>
  <c r="AK465" i="5" s="1"/>
  <c r="AI497" i="5"/>
  <c r="AJ497" i="5" s="1"/>
  <c r="AI362" i="5"/>
  <c r="AJ362" i="5" s="1"/>
  <c r="AI203" i="5"/>
  <c r="AI559" i="5"/>
  <c r="AK559" i="5" s="1"/>
  <c r="AI408" i="5"/>
  <c r="AK408" i="5" s="1"/>
  <c r="AI526" i="5"/>
  <c r="AK526" i="5" s="1"/>
  <c r="AI452" i="5"/>
  <c r="AK452" i="5" s="1"/>
  <c r="AI514" i="5"/>
  <c r="AJ514" i="5" s="1"/>
  <c r="AI351" i="5"/>
  <c r="AK351" i="5" s="1"/>
  <c r="AI545" i="5"/>
  <c r="AJ545" i="5" s="1"/>
  <c r="AI342" i="5"/>
  <c r="AJ342" i="5" s="1"/>
  <c r="AI451" i="5"/>
  <c r="AI423" i="5"/>
  <c r="AK423" i="5" s="1"/>
  <c r="AI482" i="5"/>
  <c r="AJ482" i="5" s="1"/>
  <c r="AI322" i="5"/>
  <c r="AJ322" i="5" s="1"/>
  <c r="AI377" i="5"/>
  <c r="AK377" i="5" s="1"/>
  <c r="AI548" i="5"/>
  <c r="AK548" i="5" s="1"/>
  <c r="AI396" i="5"/>
  <c r="AI519" i="5"/>
  <c r="AK519" i="5" s="1"/>
  <c r="AI330" i="5"/>
  <c r="AI478" i="5"/>
  <c r="AK478" i="5" s="1"/>
  <c r="AI255" i="5"/>
  <c r="AK255" i="5" s="1"/>
  <c r="AI533" i="5"/>
  <c r="AK533" i="5" s="1"/>
  <c r="AI289" i="5"/>
  <c r="AK289" i="5" s="1"/>
  <c r="AI433" i="5"/>
  <c r="AJ433" i="5" s="1"/>
  <c r="AI387" i="5"/>
  <c r="AJ387" i="5" s="1"/>
  <c r="AI431" i="5"/>
  <c r="AJ431" i="5" s="1"/>
  <c r="AI312" i="5"/>
  <c r="AJ312" i="5" s="1"/>
  <c r="AI303" i="5"/>
  <c r="AK303" i="5" s="1"/>
  <c r="AI374" i="5"/>
  <c r="AK374" i="5" s="1"/>
  <c r="AI283" i="5"/>
  <c r="AK283" i="5" s="1"/>
  <c r="AI513" i="5"/>
  <c r="AJ513" i="5" s="1"/>
  <c r="AI426" i="5"/>
  <c r="AK426" i="5" s="1"/>
  <c r="AI300" i="5"/>
  <c r="AI12" i="5"/>
  <c r="AK12" i="5" s="1"/>
  <c r="AI493" i="5"/>
  <c r="AI480" i="5"/>
  <c r="AK480" i="5" s="1"/>
  <c r="AI495" i="5"/>
  <c r="AJ495" i="5" s="1"/>
  <c r="AI464" i="5"/>
  <c r="AK464" i="5" s="1"/>
  <c r="AI474" i="5"/>
  <c r="AK474" i="5" s="1"/>
  <c r="AI180" i="5"/>
  <c r="AJ180" i="5" s="1"/>
  <c r="AI503" i="5"/>
  <c r="AI554" i="5"/>
  <c r="AK554" i="5" s="1"/>
  <c r="AI316" i="5"/>
  <c r="AI346" i="5"/>
  <c r="AJ346" i="5" s="1"/>
  <c r="AI419" i="5"/>
  <c r="AK419" i="5" s="1"/>
  <c r="AI371" i="5"/>
  <c r="AK371" i="5" s="1"/>
  <c r="AI219" i="5"/>
  <c r="AK219" i="5" s="1"/>
  <c r="AI385" i="5"/>
  <c r="AK385" i="5" s="1"/>
  <c r="AI8" i="5"/>
  <c r="AK8" i="5" s="1"/>
  <c r="AI488" i="5"/>
  <c r="AK488" i="5" s="1"/>
  <c r="AI456" i="5"/>
  <c r="AJ456" i="5" s="1"/>
  <c r="AI463" i="5"/>
  <c r="AK463" i="5" s="1"/>
  <c r="AI537" i="5"/>
  <c r="AJ537" i="5" s="1"/>
  <c r="AI461" i="5"/>
  <c r="AK461" i="5" s="1"/>
  <c r="AI77" i="5"/>
  <c r="AJ77" i="5" s="1"/>
  <c r="AI496" i="5"/>
  <c r="AJ496" i="5" s="1"/>
  <c r="AI510" i="5"/>
  <c r="AJ510" i="5" s="1"/>
  <c r="AI520" i="5"/>
  <c r="AK520" i="5" s="1"/>
  <c r="AI531" i="5"/>
  <c r="AI297" i="5"/>
  <c r="AJ297" i="5" s="1"/>
  <c r="AI339" i="5"/>
  <c r="AJ339" i="5" s="1"/>
  <c r="AI91" i="5"/>
  <c r="AK91" i="5" s="1"/>
  <c r="AI81" i="5"/>
  <c r="AK81" i="5" s="1"/>
  <c r="AI340" i="5"/>
  <c r="AK340" i="5" s="1"/>
  <c r="AI273" i="5"/>
  <c r="AI244" i="5"/>
  <c r="AJ244" i="5" s="1"/>
  <c r="AI27" i="5"/>
  <c r="AI235" i="5"/>
  <c r="AJ235" i="5" s="1"/>
  <c r="AI105" i="5"/>
  <c r="AK105" i="5" s="1"/>
  <c r="AI82" i="5"/>
  <c r="AK82" i="5" s="1"/>
  <c r="AI415" i="5"/>
  <c r="AK415" i="5" s="1"/>
  <c r="AI432" i="5"/>
  <c r="AK432" i="5" s="1"/>
  <c r="AI476" i="5"/>
  <c r="AK476" i="5" s="1"/>
  <c r="AI310" i="5"/>
  <c r="AJ310" i="5" s="1"/>
  <c r="AI467" i="5"/>
  <c r="AK467" i="5" s="1"/>
  <c r="AI124" i="5"/>
  <c r="AJ124" i="5" s="1"/>
  <c r="AI293" i="5"/>
  <c r="AK293" i="5" s="1"/>
  <c r="AI369" i="5"/>
  <c r="AK369" i="5" s="1"/>
  <c r="AI141" i="5"/>
  <c r="AJ141" i="5" s="1"/>
  <c r="AI164" i="5"/>
  <c r="AK164" i="5" s="1"/>
  <c r="AI471" i="5"/>
  <c r="AJ471" i="5" s="1"/>
  <c r="AI538" i="5"/>
  <c r="AJ538" i="5" s="1"/>
  <c r="AI459" i="5"/>
  <c r="AI43" i="5"/>
  <c r="AK43" i="5" s="1"/>
  <c r="AI185" i="5"/>
  <c r="AK185" i="5" s="1"/>
  <c r="AI323" i="5"/>
  <c r="AJ323" i="5" s="1"/>
  <c r="AI78" i="5"/>
  <c r="AK78" i="5" s="1"/>
  <c r="AI109" i="5"/>
  <c r="AJ109" i="5" s="1"/>
  <c r="AI558" i="5"/>
  <c r="AI412" i="5"/>
  <c r="AJ412" i="5" s="1"/>
  <c r="AI481" i="5"/>
  <c r="AI534" i="5"/>
  <c r="AK534" i="5" s="1"/>
  <c r="AI448" i="5"/>
  <c r="AK448" i="5" s="1"/>
  <c r="AI424" i="5"/>
  <c r="AJ424" i="5" s="1"/>
  <c r="AI32" i="5"/>
  <c r="AJ32" i="5" s="1"/>
  <c r="AI264" i="5"/>
  <c r="AJ264" i="5" s="1"/>
  <c r="AI391" i="5"/>
  <c r="AJ391" i="5" s="1"/>
  <c r="AI140" i="5"/>
  <c r="AJ140" i="5" s="1"/>
  <c r="AI492" i="5"/>
  <c r="AK492" i="5" s="1"/>
  <c r="AI407" i="5"/>
  <c r="AJ407" i="5" s="1"/>
  <c r="AI399" i="5"/>
  <c r="AK399" i="5" s="1"/>
  <c r="AI292" i="5"/>
  <c r="AJ292" i="5" s="1"/>
  <c r="AI279" i="5"/>
  <c r="AK279" i="5" s="1"/>
  <c r="AI269" i="5"/>
  <c r="AK269" i="5" s="1"/>
  <c r="AI315" i="5"/>
  <c r="AI138" i="5"/>
  <c r="AJ138" i="5" s="1"/>
  <c r="AI443" i="5"/>
  <c r="AI154" i="5"/>
  <c r="AK154" i="5" s="1"/>
  <c r="AI318" i="5"/>
  <c r="AK318" i="5" s="1"/>
  <c r="AI380" i="5"/>
  <c r="AK380" i="5" s="1"/>
  <c r="AI281" i="5"/>
  <c r="AK281" i="5" s="1"/>
  <c r="AI243" i="5"/>
  <c r="AJ243" i="5" s="1"/>
  <c r="AI178" i="5"/>
  <c r="AI291" i="5"/>
  <c r="AK291" i="5" s="1"/>
  <c r="AI161" i="5"/>
  <c r="AI314" i="5"/>
  <c r="AK314" i="5" s="1"/>
  <c r="AI136" i="5"/>
  <c r="AJ136" i="5" s="1"/>
  <c r="AI257" i="5"/>
  <c r="AJ257" i="5" s="1"/>
  <c r="AI354" i="5"/>
  <c r="AK354" i="5" s="1"/>
  <c r="AI393" i="5"/>
  <c r="AJ393" i="5" s="1"/>
  <c r="AI276" i="5"/>
  <c r="AJ276" i="5" s="1"/>
  <c r="AI88" i="5"/>
  <c r="AK88" i="5" s="1"/>
  <c r="AI429" i="5"/>
  <c r="AK429" i="5" s="1"/>
  <c r="AI287" i="5"/>
  <c r="AJ287" i="5" s="1"/>
  <c r="AI222" i="5"/>
  <c r="AJ222" i="5" s="1"/>
  <c r="AI249" i="5"/>
  <c r="AJ249" i="5" s="1"/>
  <c r="AI170" i="5"/>
  <c r="AK170" i="5" s="1"/>
  <c r="AI79" i="5"/>
  <c r="AJ79" i="5" s="1"/>
  <c r="AI69" i="5"/>
  <c r="AJ69" i="5" s="1"/>
  <c r="AI97" i="5"/>
  <c r="AJ97" i="5" s="1"/>
  <c r="AI162" i="5"/>
  <c r="AI364" i="5"/>
  <c r="AK364" i="5" s="1"/>
  <c r="AI383" i="5"/>
  <c r="AK383" i="5" s="1"/>
  <c r="AI236" i="5"/>
  <c r="AJ236" i="5" s="1"/>
  <c r="AI253" i="5"/>
  <c r="AK253" i="5" s="1"/>
  <c r="AI395" i="5"/>
  <c r="AJ395" i="5" s="1"/>
  <c r="AI256" i="5"/>
  <c r="AI59" i="5"/>
  <c r="AJ59" i="5" s="1"/>
  <c r="AI357" i="5"/>
  <c r="AI271" i="5"/>
  <c r="AK271" i="5" s="1"/>
  <c r="AI211" i="5"/>
  <c r="AJ211" i="5" s="1"/>
  <c r="AI251" i="5"/>
  <c r="AK251" i="5" s="1"/>
  <c r="AI158" i="5"/>
  <c r="AJ158" i="5" s="1"/>
  <c r="AI130" i="5"/>
  <c r="AK130" i="5" s="1"/>
  <c r="AI21" i="5"/>
  <c r="AJ21" i="5" s="1"/>
  <c r="AI194" i="5"/>
  <c r="AK194" i="5" s="1"/>
  <c r="AI28" i="5"/>
  <c r="AK28" i="5" s="1"/>
  <c r="AI37" i="5"/>
  <c r="AK37" i="5" s="1"/>
  <c r="AI355" i="5"/>
  <c r="AK355" i="5" s="1"/>
  <c r="AI311" i="5"/>
  <c r="AK311" i="5" s="1"/>
  <c r="AI216" i="5"/>
  <c r="AK216" i="5" s="1"/>
  <c r="AI261" i="5"/>
  <c r="AJ261" i="5" s="1"/>
  <c r="AI386" i="5"/>
  <c r="AJ386" i="5" s="1"/>
  <c r="AI247" i="5"/>
  <c r="AK247" i="5" s="1"/>
  <c r="AI76" i="5"/>
  <c r="AI326" i="5"/>
  <c r="AJ326" i="5" s="1"/>
  <c r="AI183" i="5"/>
  <c r="AK183" i="5" s="1"/>
  <c r="AI128" i="5"/>
  <c r="AJ128" i="5" s="1"/>
  <c r="AI201" i="5"/>
  <c r="AJ201" i="5" s="1"/>
  <c r="AI75" i="5"/>
  <c r="AK75" i="5" s="1"/>
  <c r="AI74" i="5"/>
  <c r="AI22" i="5"/>
  <c r="AJ22" i="5" s="1"/>
  <c r="AI119" i="5"/>
  <c r="AI225" i="5"/>
  <c r="AK225" i="5" s="1"/>
  <c r="AI195" i="5"/>
  <c r="AJ195" i="5" s="1"/>
  <c r="AI338" i="5"/>
  <c r="AK338" i="5" s="1"/>
  <c r="AI200" i="5"/>
  <c r="AK200" i="5" s="1"/>
  <c r="AI133" i="5"/>
  <c r="AJ133" i="5" s="1"/>
  <c r="AI335" i="5"/>
  <c r="AK335" i="5" s="1"/>
  <c r="AI132" i="5"/>
  <c r="AK132" i="5" s="1"/>
  <c r="AI116" i="5"/>
  <c r="AK116" i="5" s="1"/>
  <c r="AI177" i="5"/>
  <c r="AJ177" i="5" s="1"/>
  <c r="AI242" i="5"/>
  <c r="AJ242" i="5" s="1"/>
  <c r="AI190" i="5"/>
  <c r="AJ190" i="5" s="1"/>
  <c r="AI73" i="5"/>
  <c r="AK73" i="5" s="1"/>
  <c r="AI159" i="5"/>
  <c r="AJ159" i="5" s="1"/>
  <c r="AI186" i="5"/>
  <c r="AK186" i="5" s="1"/>
  <c r="AI146" i="5"/>
  <c r="AK146" i="5" s="1"/>
  <c r="AI331" i="5"/>
  <c r="AI223" i="5"/>
  <c r="AK223" i="5" s="1"/>
  <c r="AI421" i="5"/>
  <c r="AK421" i="5" s="1"/>
  <c r="AI359" i="5"/>
  <c r="AJ359" i="5" s="1"/>
  <c r="AI118" i="5"/>
  <c r="AJ118" i="5" s="1"/>
  <c r="AI90" i="5"/>
  <c r="AK90" i="5" s="1"/>
  <c r="AI207" i="5"/>
  <c r="AI67" i="5"/>
  <c r="AK67" i="5" s="1"/>
  <c r="AI220" i="5"/>
  <c r="AI33" i="5"/>
  <c r="AK33" i="5" s="1"/>
  <c r="AI229" i="5"/>
  <c r="AJ229" i="5" s="1"/>
  <c r="AI267" i="5"/>
  <c r="AK267" i="5" s="1"/>
  <c r="AI402" i="5"/>
  <c r="AK402" i="5" s="1"/>
  <c r="AI328" i="5"/>
  <c r="AK328" i="5" s="1"/>
  <c r="AI285" i="5"/>
  <c r="AK285" i="5" s="1"/>
  <c r="AI98" i="5"/>
  <c r="AJ98" i="5" s="1"/>
  <c r="AI137" i="5"/>
  <c r="AK137" i="5" s="1"/>
  <c r="AI319" i="5"/>
  <c r="AK319" i="5" s="1"/>
  <c r="AI196" i="5"/>
  <c r="AK196" i="5" s="1"/>
  <c r="AI381" i="5"/>
  <c r="AJ381" i="5" s="1"/>
  <c r="AI308" i="5"/>
  <c r="AJ308" i="5" s="1"/>
  <c r="AI29" i="5"/>
  <c r="AJ29" i="5" s="1"/>
  <c r="AI45" i="5"/>
  <c r="AI199" i="5"/>
  <c r="AK199" i="5" s="1"/>
  <c r="AI19" i="5"/>
  <c r="AI166" i="5"/>
  <c r="AJ166" i="5" s="1"/>
  <c r="AI55" i="5"/>
  <c r="AK55" i="5" s="1"/>
  <c r="AI53" i="5"/>
  <c r="AK53" i="5" s="1"/>
  <c r="AI61" i="5"/>
  <c r="AJ61" i="5" s="1"/>
  <c r="AI121" i="5"/>
  <c r="AK121" i="5" s="1"/>
  <c r="AI169" i="5"/>
  <c r="AI107" i="5"/>
  <c r="AJ107" i="5" s="1"/>
  <c r="AI25" i="5"/>
  <c r="AI80" i="5"/>
  <c r="AJ80" i="5" s="1"/>
  <c r="AI71" i="5"/>
  <c r="AK71" i="5" s="1"/>
  <c r="AI173" i="5"/>
  <c r="AJ173" i="5" s="1"/>
  <c r="AI441" i="5"/>
  <c r="AJ441" i="5" s="1"/>
  <c r="AI156" i="5"/>
  <c r="AJ156" i="5" s="1"/>
  <c r="AI102" i="5"/>
  <c r="AJ102" i="5" s="1"/>
  <c r="AI115" i="5"/>
  <c r="AJ115" i="5" s="1"/>
  <c r="AI93" i="5"/>
  <c r="AK93" i="5" s="1"/>
  <c r="AI85" i="5"/>
  <c r="AJ85" i="5" s="1"/>
  <c r="AI299" i="5"/>
  <c r="AJ299" i="5" s="1"/>
  <c r="AI215" i="5"/>
  <c r="AK215" i="5" s="1"/>
  <c r="AI259" i="5"/>
  <c r="AK259" i="5" s="1"/>
  <c r="AI304" i="5"/>
  <c r="AJ304" i="5" s="1"/>
  <c r="AI129" i="5"/>
  <c r="AK129" i="5" s="1"/>
  <c r="AI23" i="5"/>
  <c r="AK23" i="5" s="1"/>
  <c r="AI64" i="5"/>
  <c r="AI143" i="5"/>
  <c r="AK143" i="5" s="1"/>
  <c r="AI280" i="5"/>
  <c r="AJ280" i="5" s="1"/>
  <c r="AI131" i="5"/>
  <c r="AK131" i="5" s="1"/>
  <c r="AI163" i="5"/>
  <c r="AK163" i="5" s="1"/>
  <c r="AI198" i="5"/>
  <c r="AJ198" i="5" s="1"/>
  <c r="AI265" i="5"/>
  <c r="AI104" i="5"/>
  <c r="AJ104" i="5" s="1"/>
  <c r="AI184" i="5"/>
  <c r="AI26" i="5"/>
  <c r="AJ26" i="5" s="1"/>
  <c r="AI49" i="5"/>
  <c r="AK49" i="5" s="1"/>
  <c r="AI99" i="5"/>
  <c r="AJ99" i="5" s="1"/>
  <c r="AI313" i="5"/>
  <c r="AK313" i="5" s="1"/>
  <c r="AI120" i="5"/>
  <c r="AJ120" i="5" s="1"/>
  <c r="AI174" i="5"/>
  <c r="AK174" i="5" s="1"/>
  <c r="AI252" i="5"/>
  <c r="AK252" i="5" s="1"/>
  <c r="AI24" i="5"/>
  <c r="AK24" i="5" s="1"/>
  <c r="AI38" i="5"/>
  <c r="AK38" i="5" s="1"/>
  <c r="AI30" i="5"/>
  <c r="AK30" i="5" s="1"/>
  <c r="AI65" i="5"/>
  <c r="AK65" i="5" s="1"/>
  <c r="AI103" i="5"/>
  <c r="AK103" i="5" s="1"/>
  <c r="AI153" i="5"/>
  <c r="AJ153" i="5" s="1"/>
  <c r="AI100" i="5"/>
  <c r="AJ100" i="5" s="1"/>
  <c r="AI182" i="5"/>
  <c r="AJ182" i="5" s="1"/>
  <c r="AI228" i="5"/>
  <c r="AI51" i="5"/>
  <c r="AK51" i="5" s="1"/>
  <c r="AI248" i="5"/>
  <c r="AK248" i="5" s="1"/>
  <c r="AI40" i="5"/>
  <c r="AJ40" i="5" s="1"/>
  <c r="AI206" i="5"/>
  <c r="AK206" i="5" s="1"/>
  <c r="AI142" i="5"/>
  <c r="AJ142" i="5" s="1"/>
  <c r="AI92" i="5"/>
  <c r="AI254" i="5"/>
  <c r="AJ254" i="5" s="1"/>
  <c r="AI294" i="5"/>
  <c r="AI36" i="5"/>
  <c r="AJ36" i="5" s="1"/>
  <c r="AI232" i="5"/>
  <c r="AK232" i="5" s="1"/>
  <c r="AI504" i="5"/>
  <c r="AJ504" i="5" s="1"/>
  <c r="AI39" i="5"/>
  <c r="AJ39" i="5" s="1"/>
  <c r="AI302" i="5"/>
  <c r="AK302" i="5" s="1"/>
  <c r="AI214" i="5"/>
  <c r="AK214" i="5" s="1"/>
  <c r="AI35" i="5"/>
  <c r="AJ35" i="5" s="1"/>
  <c r="AI240" i="5"/>
  <c r="AJ240" i="5" s="1"/>
  <c r="AI83" i="5"/>
  <c r="AJ83" i="5" s="1"/>
  <c r="AI227" i="5"/>
  <c r="AK227" i="5" s="1"/>
  <c r="AI112" i="5"/>
  <c r="AK112" i="5" s="1"/>
  <c r="AI101" i="5"/>
  <c r="AK101" i="5" s="1"/>
  <c r="AI398" i="5"/>
  <c r="AJ398" i="5" s="1"/>
  <c r="AI68" i="5"/>
  <c r="AJ68" i="5" s="1"/>
  <c r="AI47" i="5"/>
  <c r="AK47" i="5" s="1"/>
  <c r="AI94" i="5"/>
  <c r="AI48" i="5"/>
  <c r="AJ48" i="5" s="1"/>
  <c r="AI110" i="5"/>
  <c r="AK110" i="5" s="1"/>
  <c r="AI160" i="5"/>
  <c r="AK160" i="5" s="1"/>
  <c r="AI113" i="5"/>
  <c r="AK113" i="5" s="1"/>
  <c r="AI239" i="5"/>
  <c r="AJ239" i="5" s="1"/>
  <c r="AI187" i="5"/>
  <c r="AI231" i="5"/>
  <c r="AJ231" i="5" s="1"/>
  <c r="AI106" i="5"/>
  <c r="AI145" i="5"/>
  <c r="AJ145" i="5" s="1"/>
  <c r="AI96" i="5"/>
  <c r="AK96" i="5" s="1"/>
  <c r="AI217" i="5"/>
  <c r="AK217" i="5" s="1"/>
  <c r="AI126" i="5"/>
  <c r="AK126" i="5" s="1"/>
  <c r="AI72" i="5"/>
  <c r="AK72" i="5" s="1"/>
  <c r="AI246" i="5"/>
  <c r="AK246" i="5" s="1"/>
  <c r="AI31" i="5"/>
  <c r="AK31" i="5" s="1"/>
  <c r="AI63" i="5"/>
  <c r="AK63" i="5" s="1"/>
  <c r="AI50" i="5"/>
  <c r="AJ50" i="5" s="1"/>
  <c r="AI84" i="5"/>
  <c r="AK84" i="5" s="1"/>
  <c r="AI122" i="5"/>
  <c r="AK122" i="5" s="1"/>
  <c r="AI157" i="5"/>
  <c r="AK157" i="5" s="1"/>
  <c r="AI286" i="5"/>
  <c r="AJ286" i="5" s="1"/>
  <c r="AI57" i="5"/>
  <c r="AJ57" i="5" s="1"/>
  <c r="AI288" i="5"/>
  <c r="AJ288" i="5" s="1"/>
  <c r="AI114" i="5"/>
  <c r="AI87" i="5"/>
  <c r="AJ87" i="5" s="1"/>
  <c r="AI238" i="5"/>
  <c r="AJ238" i="5" s="1"/>
  <c r="AI332" i="5"/>
  <c r="AJ332" i="5" s="1"/>
  <c r="AI176" i="5"/>
  <c r="AK176" i="5" s="1"/>
  <c r="AI305" i="5"/>
  <c r="AK305" i="5" s="1"/>
  <c r="AI212" i="5"/>
  <c r="AI34" i="5"/>
  <c r="AK34" i="5" s="1"/>
  <c r="AI58" i="5"/>
  <c r="AI416" i="5"/>
  <c r="AJ416" i="5" s="1"/>
  <c r="AI321" i="5"/>
  <c r="AK321" i="5" s="1"/>
  <c r="AI221" i="5"/>
  <c r="AJ221" i="5" s="1"/>
  <c r="AI56" i="5"/>
  <c r="AJ56" i="5" s="1"/>
  <c r="AI401" i="5"/>
  <c r="AK401" i="5" s="1"/>
  <c r="AI205" i="5"/>
  <c r="AK205" i="5" s="1"/>
  <c r="AI329" i="5"/>
  <c r="AJ329" i="5" s="1"/>
  <c r="AI268" i="5"/>
  <c r="AK268" i="5" s="1"/>
  <c r="AI86" i="5"/>
  <c r="AK86" i="5" s="1"/>
  <c r="AI20" i="5"/>
  <c r="AJ20" i="5" s="1"/>
  <c r="AI66" i="5"/>
  <c r="AJ66" i="5" s="1"/>
  <c r="AI111" i="5"/>
  <c r="AK111" i="5" s="1"/>
  <c r="AI46" i="5"/>
  <c r="AJ46" i="5" s="1"/>
  <c r="AI458" i="5"/>
  <c r="AK458" i="5" s="1"/>
  <c r="AI44" i="5"/>
  <c r="AK44" i="5" s="1"/>
  <c r="AI135" i="5"/>
  <c r="AI258" i="5"/>
  <c r="AJ258" i="5" s="1"/>
  <c r="AI208" i="5"/>
  <c r="AK208" i="5" s="1"/>
  <c r="AI437" i="5"/>
  <c r="AJ437" i="5" s="1"/>
  <c r="AI41" i="5"/>
  <c r="AK41" i="5" s="1"/>
  <c r="AI70" i="5"/>
  <c r="AJ70" i="5" s="1"/>
  <c r="AI193" i="5"/>
  <c r="AI54" i="5"/>
  <c r="AJ54" i="5" s="1"/>
  <c r="AI213" i="5"/>
  <c r="AI52" i="5"/>
  <c r="AJ52" i="5" s="1"/>
  <c r="AI144" i="5"/>
  <c r="AK144" i="5" s="1"/>
  <c r="AI277" i="5"/>
  <c r="AK277" i="5" s="1"/>
  <c r="AI278" i="5"/>
  <c r="AK278" i="5" s="1"/>
  <c r="AI165" i="5"/>
  <c r="AJ165" i="5" s="1"/>
  <c r="AI108" i="5"/>
  <c r="AJ108" i="5" s="1"/>
  <c r="AI42" i="5"/>
  <c r="AJ42" i="5" s="1"/>
  <c r="AI89" i="5"/>
  <c r="AK89" i="5" s="1"/>
  <c r="AI250" i="5"/>
  <c r="AK250" i="5" s="1"/>
  <c r="AI62" i="5"/>
  <c r="AJ62" i="5" s="1"/>
  <c r="AI95" i="5"/>
  <c r="AJ95" i="5" s="1"/>
  <c r="AI60" i="5"/>
  <c r="AK60" i="5" s="1"/>
  <c r="AI151" i="5"/>
  <c r="AJ151" i="5" s="1"/>
  <c r="AI282" i="5"/>
  <c r="AJ282" i="5" s="1"/>
  <c r="AI345" i="5"/>
  <c r="AJ345" i="5" s="1"/>
  <c r="AI172" i="5"/>
  <c r="AI296" i="5"/>
  <c r="AK296" i="5" s="1"/>
  <c r="AI139" i="5"/>
  <c r="AK139" i="5" s="1"/>
  <c r="AI218" i="5"/>
  <c r="AK218" i="5" s="1"/>
  <c r="AI324" i="5"/>
  <c r="AK324" i="5" s="1"/>
  <c r="AI233" i="5"/>
  <c r="AK233" i="5" s="1"/>
  <c r="AI179" i="5"/>
  <c r="AI320" i="5"/>
  <c r="AK320" i="5" s="1"/>
  <c r="AI148" i="5"/>
  <c r="AI224" i="5"/>
  <c r="AK224" i="5" s="1"/>
  <c r="AI382" i="5"/>
  <c r="AJ382" i="5" s="1"/>
  <c r="AI376" i="5"/>
  <c r="AK376" i="5" s="1"/>
  <c r="AI192" i="5"/>
  <c r="AK192" i="5" s="1"/>
  <c r="AI327" i="5"/>
  <c r="AK327" i="5" s="1"/>
  <c r="AI152" i="5"/>
  <c r="AJ152" i="5" s="1"/>
  <c r="AI226" i="5"/>
  <c r="AK226" i="5" s="1"/>
  <c r="AI400" i="5"/>
  <c r="AJ400" i="5" s="1"/>
  <c r="AI317" i="5"/>
  <c r="AJ317" i="5" s="1"/>
  <c r="AI274" i="5"/>
  <c r="AJ274" i="5" s="1"/>
  <c r="AI234" i="5"/>
  <c r="AK234" i="5" s="1"/>
  <c r="AI406" i="5"/>
  <c r="AJ406" i="5" s="1"/>
  <c r="AI175" i="5"/>
  <c r="AJ175" i="5" s="1"/>
  <c r="AI272" i="5"/>
  <c r="AK272" i="5" s="1"/>
  <c r="AI439" i="5"/>
  <c r="AK439" i="5" s="1"/>
  <c r="AI555" i="5"/>
  <c r="AI325" i="5"/>
  <c r="AK325" i="5" s="1"/>
  <c r="AI262" i="5"/>
  <c r="AJ262" i="5" s="1"/>
  <c r="AI449" i="5"/>
  <c r="AJ449" i="5" s="1"/>
  <c r="AI202" i="5"/>
  <c r="AK202" i="5" s="1"/>
  <c r="AI298" i="5"/>
  <c r="AK298" i="5" s="1"/>
  <c r="AI525" i="5"/>
  <c r="AI550" i="5"/>
  <c r="AK550" i="5" s="1"/>
  <c r="AI270" i="5"/>
  <c r="AK270" i="5" s="1"/>
  <c r="AI117" i="5"/>
  <c r="AK117" i="5" s="1"/>
  <c r="AI210" i="5"/>
  <c r="AK210" i="5" s="1"/>
  <c r="AI301" i="5"/>
  <c r="AJ301" i="5" s="1"/>
  <c r="AI134" i="5"/>
  <c r="AK134" i="5" s="1"/>
  <c r="AI149" i="5"/>
  <c r="AJ149" i="5" s="1"/>
  <c r="AI275" i="5"/>
  <c r="AK275" i="5" s="1"/>
  <c r="AI123" i="5"/>
  <c r="AJ123" i="5" s="1"/>
  <c r="AI358" i="5"/>
  <c r="AJ358" i="5" s="1"/>
  <c r="AI150" i="5"/>
  <c r="AK150" i="5" s="1"/>
  <c r="AI290" i="5"/>
  <c r="AK290" i="5" s="1"/>
  <c r="AI147" i="5"/>
  <c r="AJ147" i="5" s="1"/>
  <c r="AI436" i="5"/>
  <c r="AK436" i="5" s="1"/>
  <c r="AI155" i="5"/>
  <c r="AJ155" i="5" s="1"/>
  <c r="AI309" i="5"/>
  <c r="AK309" i="5" s="1"/>
  <c r="AI266" i="5"/>
  <c r="AJ266" i="5" s="1"/>
  <c r="AI363" i="5"/>
  <c r="AI167" i="5"/>
  <c r="AJ167" i="5" s="1"/>
  <c r="AI188" i="5"/>
  <c r="AK188" i="5" s="1"/>
  <c r="AI414" i="5"/>
  <c r="AJ414" i="5" s="1"/>
  <c r="AI372" i="5"/>
  <c r="AK372" i="5" s="1"/>
  <c r="AI168" i="5"/>
  <c r="AJ168" i="5" s="1"/>
  <c r="AI191" i="5"/>
  <c r="AK191" i="5" s="1"/>
  <c r="AI556" i="5"/>
  <c r="AJ556" i="5" s="1"/>
  <c r="AI389" i="5"/>
  <c r="AI189" i="5"/>
  <c r="AK189" i="5" s="1"/>
  <c r="AI230" i="5"/>
  <c r="AK230" i="5" s="1"/>
  <c r="AI353" i="5"/>
  <c r="AK353" i="5" s="1"/>
  <c r="AI181" i="5"/>
  <c r="AJ181" i="5" s="1"/>
  <c r="AI125" i="5"/>
  <c r="AJ125" i="5" s="1"/>
  <c r="AI349" i="5"/>
  <c r="AK349" i="5" s="1"/>
  <c r="AI390" i="5"/>
  <c r="AK390" i="5" s="1"/>
  <c r="AI494" i="5"/>
  <c r="AJ494" i="5" s="1"/>
  <c r="AI411" i="5"/>
  <c r="AJ411" i="5" s="1"/>
  <c r="AI127" i="5"/>
  <c r="AJ127" i="5" s="1"/>
  <c r="AI361" i="5"/>
  <c r="AK361" i="5" s="1"/>
  <c r="AI475" i="5"/>
  <c r="AK475" i="5" s="1"/>
  <c r="AI529" i="5"/>
  <c r="AK529" i="5" s="1"/>
  <c r="AI540" i="5"/>
  <c r="AK540" i="5" s="1"/>
  <c r="AI197" i="5"/>
  <c r="AJ197" i="5" s="1"/>
  <c r="AI171" i="5"/>
  <c r="AK171" i="5" s="1"/>
  <c r="AI479" i="5"/>
  <c r="AJ479" i="5" s="1"/>
  <c r="AI405" i="5"/>
  <c r="AJ405" i="5" s="1"/>
  <c r="AI384" i="5"/>
  <c r="AK384" i="5" s="1"/>
  <c r="AI442" i="5"/>
  <c r="AK442" i="5" s="1"/>
  <c r="AI209" i="5"/>
  <c r="AK209" i="5" s="1"/>
  <c r="AI509" i="5"/>
  <c r="AK509" i="5" s="1"/>
  <c r="AI457" i="5"/>
  <c r="AK457" i="5" s="1"/>
  <c r="AI487" i="5"/>
  <c r="AI511" i="5"/>
  <c r="AK511" i="5" s="1"/>
  <c r="AI241" i="5"/>
  <c r="AK241" i="5" s="1"/>
  <c r="AI245" i="5"/>
  <c r="AK245" i="5" s="1"/>
  <c r="AI552" i="5"/>
  <c r="AK552" i="5" s="1"/>
  <c r="AI541" i="5"/>
  <c r="AJ541" i="5" s="1"/>
  <c r="AI505" i="5"/>
  <c r="AJ505" i="5" s="1"/>
  <c r="AI422" i="5"/>
  <c r="AJ422" i="5" s="1"/>
  <c r="AI341" i="5"/>
  <c r="AK341" i="5" s="1"/>
  <c r="AI517" i="5"/>
  <c r="AK517" i="5" s="1"/>
  <c r="AI420" i="5"/>
  <c r="AK420" i="5" s="1"/>
  <c r="AI337" i="5"/>
  <c r="AJ337" i="5" s="1"/>
  <c r="AI462" i="5"/>
  <c r="AK462" i="5" s="1"/>
  <c r="AI536" i="5"/>
  <c r="AK536" i="5" s="1"/>
  <c r="AI403" i="5"/>
  <c r="AK403" i="5" s="1"/>
  <c r="AI515" i="5"/>
  <c r="AK515" i="5" s="1"/>
  <c r="AI394" i="5"/>
  <c r="AK394" i="5" s="1"/>
  <c r="AI547" i="5"/>
  <c r="AJ547" i="5" s="1"/>
  <c r="AI454" i="5"/>
  <c r="AJ454" i="5" s="1"/>
  <c r="AI453" i="5"/>
  <c r="AK453" i="5" s="1"/>
  <c r="AI344" i="5"/>
  <c r="AK344" i="5" s="1"/>
  <c r="AI546" i="5"/>
  <c r="AJ546" i="5" s="1"/>
  <c r="AI434" i="5"/>
  <c r="AK434" i="5" s="1"/>
  <c r="AI343" i="5"/>
  <c r="AK343" i="5" s="1"/>
  <c r="AI468" i="5"/>
  <c r="AK468" i="5" s="1"/>
  <c r="AI336" i="5"/>
  <c r="AK336" i="5" s="1"/>
  <c r="AI428" i="5"/>
  <c r="AK428" i="5" s="1"/>
  <c r="AI522" i="5"/>
  <c r="AK522" i="5" s="1"/>
  <c r="AI397" i="5"/>
  <c r="AJ397" i="5" s="1"/>
  <c r="AI356" i="5"/>
  <c r="AK356" i="5" s="1"/>
  <c r="AI455" i="5"/>
  <c r="AK455" i="5" s="1"/>
  <c r="AI549" i="5"/>
  <c r="AK549" i="5" s="1"/>
  <c r="AI450" i="5"/>
  <c r="AJ450" i="5" s="1"/>
  <c r="AI352" i="5"/>
  <c r="AJ352" i="5" s="1"/>
  <c r="AI473" i="5"/>
  <c r="AK473" i="5" s="1"/>
  <c r="AI360" i="5"/>
  <c r="AJ360" i="5" s="1"/>
  <c r="AI483" i="5"/>
  <c r="AJ483" i="5" s="1"/>
  <c r="AI543" i="5"/>
  <c r="AJ543" i="5" s="1"/>
  <c r="AI409" i="5"/>
  <c r="AK409" i="5" s="1"/>
  <c r="AI370" i="5"/>
  <c r="AJ370" i="5" s="1"/>
  <c r="AI485" i="5"/>
  <c r="AK485" i="5" s="1"/>
  <c r="AI347" i="5"/>
  <c r="AK347" i="5" s="1"/>
  <c r="AI528" i="5"/>
  <c r="AK528" i="5" s="1"/>
  <c r="AI417" i="5"/>
  <c r="AK417" i="5" s="1"/>
  <c r="AI365" i="5"/>
  <c r="AK365" i="5" s="1"/>
  <c r="AI508" i="5"/>
  <c r="AJ508" i="5" s="1"/>
  <c r="AI366" i="5"/>
  <c r="AK366" i="5" s="1"/>
  <c r="AI498" i="5"/>
  <c r="AJ498" i="5" s="1"/>
  <c r="AI367" i="5"/>
  <c r="AJ367" i="5" s="1"/>
  <c r="AI489" i="5"/>
  <c r="AJ489" i="5" s="1"/>
  <c r="AI333" i="5"/>
  <c r="AK333" i="5" s="1"/>
  <c r="AI477" i="5"/>
  <c r="AK477" i="5" s="1"/>
  <c r="AI425" i="5"/>
  <c r="AK425" i="5" s="1"/>
  <c r="AI560" i="5"/>
  <c r="AK560" i="5" s="1"/>
  <c r="AI350" i="5"/>
  <c r="AJ350" i="5" s="1"/>
  <c r="AI544" i="5"/>
  <c r="AK544" i="5" s="1"/>
  <c r="AI430" i="5"/>
  <c r="AJ430" i="5" s="1"/>
  <c r="AI378" i="5"/>
  <c r="AJ378" i="5" s="1"/>
  <c r="AI532" i="5"/>
  <c r="AK532" i="5" s="1"/>
  <c r="AI388" i="5"/>
  <c r="AJ388" i="5" s="1"/>
  <c r="AI512" i="5"/>
  <c r="AJ512" i="5" s="1"/>
  <c r="AI373" i="5"/>
  <c r="AK373" i="5" s="1"/>
  <c r="AI491" i="5"/>
  <c r="AJ491" i="5" s="1"/>
  <c r="AI348" i="5"/>
  <c r="AK348" i="5" s="1"/>
  <c r="AI500" i="5"/>
  <c r="AK500" i="5" s="1"/>
  <c r="AI427" i="5"/>
  <c r="AK427" i="5" s="1"/>
  <c r="B71" i="5"/>
  <c r="AI445" i="5"/>
  <c r="AJ445" i="5" s="1"/>
  <c r="AI404" i="5"/>
  <c r="AJ404" i="5" s="1"/>
  <c r="AI535" i="5"/>
  <c r="AK535" i="5" s="1"/>
  <c r="AI392" i="5"/>
  <c r="AJ392" i="5" s="1"/>
  <c r="AI523" i="5"/>
  <c r="AJ523" i="5" s="1"/>
  <c r="AI375" i="5"/>
  <c r="AK375" i="5" s="1"/>
  <c r="AI502" i="5"/>
  <c r="AK502" i="5" s="1"/>
  <c r="AI368" i="5"/>
  <c r="AJ368" i="5" s="1"/>
  <c r="AI506" i="5"/>
  <c r="AK506" i="5" s="1"/>
  <c r="N10" i="5"/>
  <c r="O15" i="6"/>
  <c r="AK472" i="5"/>
  <c r="AJ460" i="5"/>
  <c r="AK486" i="5"/>
  <c r="AK204" i="5"/>
  <c r="AJ204" i="5"/>
  <c r="AK161" i="5"/>
  <c r="AJ161" i="5"/>
  <c r="AK169" i="5"/>
  <c r="AJ169" i="5"/>
  <c r="AK22" i="5"/>
  <c r="AJ94" i="5"/>
  <c r="AK94" i="5"/>
  <c r="AK329" i="5"/>
  <c r="AJ270" i="5"/>
  <c r="AJ171" i="5"/>
  <c r="AK440" i="5"/>
  <c r="AJ440" i="5"/>
  <c r="AK530" i="5"/>
  <c r="AJ530" i="5"/>
  <c r="AJ558" i="5"/>
  <c r="AK558" i="5"/>
  <c r="AJ481" i="5"/>
  <c r="AK481" i="5"/>
  <c r="AK459" i="5"/>
  <c r="AJ459" i="5"/>
  <c r="AK393" i="5"/>
  <c r="AJ88" i="5"/>
  <c r="AK45" i="5"/>
  <c r="AJ45" i="5"/>
  <c r="AK304" i="5"/>
  <c r="AK551" i="5"/>
  <c r="AJ551" i="5"/>
  <c r="AK553" i="5"/>
  <c r="AJ553" i="5"/>
  <c r="AK531" i="5"/>
  <c r="AJ531" i="5"/>
  <c r="AJ443" i="5"/>
  <c r="AK443" i="5"/>
  <c r="AK162" i="5"/>
  <c r="AJ162" i="5"/>
  <c r="AJ256" i="5"/>
  <c r="AK256" i="5"/>
  <c r="AK357" i="5"/>
  <c r="AJ357" i="5"/>
  <c r="AK207" i="5"/>
  <c r="AJ207" i="5"/>
  <c r="AK265" i="5"/>
  <c r="AJ265" i="5"/>
  <c r="AK166" i="5"/>
  <c r="AJ25" i="5"/>
  <c r="AK25" i="5"/>
  <c r="AJ458" i="5"/>
  <c r="AK135" i="5"/>
  <c r="AJ135" i="5"/>
  <c r="AJ212" i="5"/>
  <c r="AK212" i="5"/>
  <c r="AJ518" i="5"/>
  <c r="AK316" i="5"/>
  <c r="AJ316" i="5"/>
  <c r="AJ67" i="5"/>
  <c r="AK69" i="5"/>
  <c r="AK172" i="5"/>
  <c r="AJ172" i="5"/>
  <c r="AK545" i="5"/>
  <c r="AK431" i="5"/>
  <c r="AJ300" i="5"/>
  <c r="AK300" i="5"/>
  <c r="AK261" i="5"/>
  <c r="AK76" i="5"/>
  <c r="AJ76" i="5"/>
  <c r="AK100" i="5"/>
  <c r="AK228" i="5"/>
  <c r="AJ228" i="5"/>
  <c r="AK92" i="5"/>
  <c r="AJ92" i="5"/>
  <c r="AK294" i="5"/>
  <c r="AJ294" i="5"/>
  <c r="AJ179" i="5"/>
  <c r="AK179" i="5"/>
  <c r="AK148" i="5"/>
  <c r="AJ148" i="5"/>
  <c r="AJ434" i="5"/>
  <c r="AJ557" i="5"/>
  <c r="AK557" i="5"/>
  <c r="AJ447" i="5"/>
  <c r="AK447" i="5"/>
  <c r="AJ315" i="5"/>
  <c r="AK315" i="5"/>
  <c r="AJ252" i="5"/>
  <c r="AJ33" i="5"/>
  <c r="AJ396" i="5"/>
  <c r="AK396" i="5"/>
  <c r="AK330" i="5"/>
  <c r="AJ330" i="5"/>
  <c r="AJ490" i="5"/>
  <c r="AK490" i="5"/>
  <c r="AK501" i="5"/>
  <c r="AJ485" i="5"/>
  <c r="AK418" i="5"/>
  <c r="AJ418" i="5"/>
  <c r="AJ521" i="5"/>
  <c r="AK521" i="5"/>
  <c r="AK178" i="5"/>
  <c r="AJ178" i="5"/>
  <c r="AK184" i="5"/>
  <c r="AJ184" i="5"/>
  <c r="AJ394" i="5"/>
  <c r="AJ284" i="5"/>
  <c r="AK284" i="5"/>
  <c r="AJ306" i="5"/>
  <c r="AK306" i="5"/>
  <c r="AK263" i="5"/>
  <c r="AJ263" i="5"/>
  <c r="AJ451" i="5"/>
  <c r="AK451" i="5"/>
  <c r="AJ499" i="5"/>
  <c r="AJ186" i="5"/>
  <c r="AK331" i="5"/>
  <c r="AJ331" i="5"/>
  <c r="AK19" i="5"/>
  <c r="AJ19" i="5"/>
  <c r="AJ74" i="5"/>
  <c r="AK74" i="5"/>
  <c r="AK115" i="5"/>
  <c r="AK119" i="5"/>
  <c r="AJ119" i="5"/>
  <c r="AK555" i="5"/>
  <c r="AJ555" i="5"/>
  <c r="AK363" i="5"/>
  <c r="AJ363" i="5"/>
  <c r="AJ487" i="5"/>
  <c r="AK487" i="5"/>
  <c r="AK389" i="5"/>
  <c r="AJ389" i="5"/>
  <c r="AK213" i="5"/>
  <c r="AJ213" i="5"/>
  <c r="AK493" i="5"/>
  <c r="AJ493" i="5"/>
  <c r="AJ480" i="5"/>
  <c r="AK503" i="5"/>
  <c r="AJ503" i="5"/>
  <c r="AK310" i="5"/>
  <c r="AK98" i="5"/>
  <c r="AJ187" i="5"/>
  <c r="AK187" i="5"/>
  <c r="AJ106" i="5"/>
  <c r="AK106" i="5"/>
  <c r="AK145" i="5"/>
  <c r="AK57" i="5"/>
  <c r="AK114" i="5"/>
  <c r="AJ114" i="5"/>
  <c r="AK367" i="5"/>
  <c r="AJ413" i="5"/>
  <c r="AK413" i="5"/>
  <c r="AJ203" i="5"/>
  <c r="AK203" i="5"/>
  <c r="AK193" i="5"/>
  <c r="AJ193" i="5"/>
  <c r="AJ488" i="5"/>
  <c r="AK496" i="5"/>
  <c r="AJ554" i="5"/>
  <c r="AK433" i="5"/>
  <c r="AK471" i="5"/>
  <c r="AK273" i="5"/>
  <c r="AJ273" i="5"/>
  <c r="AK27" i="5"/>
  <c r="AJ27" i="5"/>
  <c r="AJ220" i="5"/>
  <c r="AK220" i="5"/>
  <c r="AJ291" i="5"/>
  <c r="AJ64" i="5"/>
  <c r="AK64" i="5"/>
  <c r="AJ34" i="5"/>
  <c r="AJ58" i="5"/>
  <c r="AK58" i="5"/>
  <c r="AK525" i="5"/>
  <c r="AJ525" i="5"/>
  <c r="AJ191" i="5"/>
  <c r="AJ500" i="5"/>
  <c r="S392" i="5"/>
  <c r="S319" i="5"/>
  <c r="S194" i="5"/>
  <c r="S123" i="5"/>
  <c r="S38" i="5"/>
  <c r="S555" i="5"/>
  <c r="S475" i="5"/>
  <c r="S389" i="5"/>
  <c r="S370" i="5"/>
  <c r="S313" i="5"/>
  <c r="S258" i="5"/>
  <c r="S230" i="5"/>
  <c r="S172" i="5"/>
  <c r="S164" i="5"/>
  <c r="S152" i="5"/>
  <c r="S100" i="5"/>
  <c r="S89" i="5"/>
  <c r="S87" i="5"/>
  <c r="S57" i="5"/>
  <c r="S52" i="5"/>
  <c r="S50" i="5"/>
  <c r="S547" i="5"/>
  <c r="S479" i="5"/>
  <c r="S462" i="5"/>
  <c r="S375" i="5"/>
  <c r="S312" i="5"/>
  <c r="S246" i="5"/>
  <c r="S58" i="5"/>
  <c r="S34" i="5"/>
  <c r="S19" i="5"/>
  <c r="S560" i="5"/>
  <c r="S556" i="5"/>
  <c r="S536" i="5"/>
  <c r="S528" i="5"/>
  <c r="S526" i="5"/>
  <c r="S515" i="5"/>
  <c r="S509" i="5"/>
  <c r="S500" i="5"/>
  <c r="S496" i="5"/>
  <c r="S489" i="5"/>
  <c r="S442" i="5"/>
  <c r="S441" i="5"/>
  <c r="S420" i="5"/>
  <c r="S414" i="5"/>
  <c r="S381" i="5"/>
  <c r="S350" i="5"/>
  <c r="S337" i="5"/>
  <c r="S302" i="5"/>
  <c r="S291" i="5"/>
  <c r="S277" i="5"/>
  <c r="S269" i="5"/>
  <c r="S208" i="5"/>
  <c r="S149" i="5"/>
  <c r="S135" i="5"/>
  <c r="S127" i="5"/>
  <c r="S111" i="5"/>
  <c r="S106" i="5"/>
  <c r="S71" i="5"/>
  <c r="S63" i="5"/>
  <c r="S54" i="5"/>
  <c r="S39" i="5"/>
  <c r="S26" i="5"/>
  <c r="S329" i="5"/>
  <c r="S210" i="5"/>
  <c r="S60" i="5"/>
  <c r="S546" i="5"/>
  <c r="S525" i="5"/>
  <c r="S520" i="5"/>
  <c r="S468" i="5"/>
  <c r="S445" i="5"/>
  <c r="S428" i="5"/>
  <c r="S376" i="5"/>
  <c r="S361" i="5"/>
  <c r="S358" i="5"/>
  <c r="S341" i="5"/>
  <c r="S336" i="5"/>
  <c r="S325" i="5"/>
  <c r="S309" i="5"/>
  <c r="S294" i="5"/>
  <c r="S288" i="5"/>
  <c r="S266" i="5"/>
  <c r="S262" i="5"/>
  <c r="S261" i="5"/>
  <c r="S254" i="5"/>
  <c r="S252" i="5"/>
  <c r="S249" i="5"/>
  <c r="S218" i="5"/>
  <c r="S181" i="5"/>
  <c r="S173" i="5"/>
  <c r="S168" i="5"/>
  <c r="S133" i="5"/>
  <c r="S131" i="5"/>
  <c r="S108" i="5"/>
  <c r="S98" i="5"/>
  <c r="S91" i="5"/>
  <c r="S64" i="5"/>
  <c r="S49" i="5"/>
  <c r="S44" i="5"/>
  <c r="S42" i="5"/>
  <c r="S20" i="5"/>
  <c r="S552" i="5"/>
  <c r="S482" i="5"/>
  <c r="S457" i="5"/>
  <c r="S406" i="5"/>
  <c r="S250" i="5"/>
  <c r="S95" i="5"/>
  <c r="S65" i="5"/>
  <c r="S540" i="5"/>
  <c r="S503" i="5"/>
  <c r="S437" i="5"/>
  <c r="S434" i="5"/>
  <c r="S422" i="5"/>
  <c r="S394" i="5"/>
  <c r="S378" i="5"/>
  <c r="S333" i="5"/>
  <c r="S316" i="5"/>
  <c r="S299" i="5"/>
  <c r="S275" i="5"/>
  <c r="S270" i="5"/>
  <c r="S268" i="5"/>
  <c r="S221" i="5"/>
  <c r="S191" i="5"/>
  <c r="S160" i="5"/>
  <c r="S148" i="5"/>
  <c r="S144" i="5"/>
  <c r="S142" i="5"/>
  <c r="S125" i="5"/>
  <c r="S117" i="5"/>
  <c r="S103" i="5"/>
  <c r="S101" i="5"/>
  <c r="S80" i="5"/>
  <c r="S68" i="5"/>
  <c r="S55" i="5"/>
  <c r="S46" i="5"/>
  <c r="S28" i="5"/>
  <c r="S25" i="5"/>
  <c r="S22" i="5"/>
  <c r="S544" i="5"/>
  <c r="S541" i="5"/>
  <c r="S527" i="5"/>
  <c r="S512" i="5"/>
  <c r="S466" i="5"/>
  <c r="S454" i="5"/>
  <c r="S430" i="5"/>
  <c r="S425" i="5"/>
  <c r="S408" i="5"/>
  <c r="S405" i="5"/>
  <c r="S403" i="5"/>
  <c r="S400" i="5"/>
  <c r="S390" i="5"/>
  <c r="S366" i="5"/>
  <c r="S349" i="5"/>
  <c r="S321" i="5"/>
  <c r="S320" i="5"/>
  <c r="S317" i="5"/>
  <c r="S296" i="5"/>
  <c r="S243" i="5"/>
  <c r="S235" i="5"/>
  <c r="S232" i="5"/>
  <c r="S212" i="5"/>
  <c r="S197" i="5"/>
  <c r="S192" i="5"/>
  <c r="S179" i="5"/>
  <c r="S163" i="5"/>
  <c r="S159" i="5"/>
  <c r="S143" i="5"/>
  <c r="S118" i="5"/>
  <c r="S102" i="5"/>
  <c r="S85" i="5"/>
  <c r="S66" i="5"/>
  <c r="S56" i="5"/>
  <c r="S41" i="5"/>
  <c r="S33" i="5"/>
  <c r="S30" i="5"/>
  <c r="S498" i="5"/>
  <c r="S467" i="5"/>
  <c r="S448" i="5"/>
  <c r="S367" i="5"/>
  <c r="S308" i="5"/>
  <c r="S265" i="5"/>
  <c r="S84" i="5"/>
  <c r="S36" i="5"/>
  <c r="S534" i="5"/>
  <c r="S532" i="5"/>
  <c r="S529" i="5"/>
  <c r="S523" i="5"/>
  <c r="S517" i="5"/>
  <c r="S487" i="5"/>
  <c r="S486" i="5"/>
  <c r="S463" i="5"/>
  <c r="S458" i="5"/>
  <c r="S456" i="5"/>
  <c r="S450" i="5"/>
  <c r="S417" i="5"/>
  <c r="S409" i="5"/>
  <c r="S404" i="5"/>
  <c r="S382" i="5"/>
  <c r="S368" i="5"/>
  <c r="S365" i="5"/>
  <c r="S343" i="5"/>
  <c r="S327" i="5"/>
  <c r="S280" i="5"/>
  <c r="S278" i="5"/>
  <c r="S272" i="5"/>
  <c r="S260" i="5"/>
  <c r="S237" i="5"/>
  <c r="S233" i="5"/>
  <c r="S226" i="5"/>
  <c r="S224" i="5"/>
  <c r="S209" i="5"/>
  <c r="S205" i="5"/>
  <c r="S196" i="5"/>
  <c r="S184" i="5"/>
  <c r="S175" i="5"/>
  <c r="S171" i="5"/>
  <c r="S165" i="5"/>
  <c r="S139" i="5"/>
  <c r="S126" i="5"/>
  <c r="S94" i="5"/>
  <c r="S93" i="5"/>
  <c r="S86" i="5"/>
  <c r="S81" i="5"/>
  <c r="S47" i="5"/>
  <c r="S23" i="5"/>
  <c r="S550" i="5"/>
  <c r="S493" i="5"/>
  <c r="S398" i="5"/>
  <c r="S248" i="5"/>
  <c r="S119" i="5"/>
  <c r="S70" i="5"/>
  <c r="S31" i="5"/>
  <c r="S77" i="5"/>
  <c r="S67" i="5"/>
  <c r="S124" i="5"/>
  <c r="S104" i="5"/>
  <c r="S129" i="5"/>
  <c r="S146" i="5"/>
  <c r="S166" i="5"/>
  <c r="S145" i="5"/>
  <c r="S217" i="5"/>
  <c r="S190" i="5"/>
  <c r="S227" i="5"/>
  <c r="S328" i="5"/>
  <c r="S267" i="5"/>
  <c r="S281" i="5"/>
  <c r="S364" i="5"/>
  <c r="S369" i="5"/>
  <c r="S380" i="5"/>
  <c r="S410" i="5"/>
  <c r="S460" i="5"/>
  <c r="S485" i="5"/>
  <c r="S474" i="5"/>
  <c r="S492" i="5"/>
  <c r="S519" i="5"/>
  <c r="S549" i="5"/>
  <c r="S150" i="5"/>
  <c r="S204" i="5"/>
  <c r="S244" i="5"/>
  <c r="S415" i="5"/>
  <c r="S470" i="5"/>
  <c r="S21" i="5"/>
  <c r="S61" i="5"/>
  <c r="S216" i="5"/>
  <c r="S234" i="5"/>
  <c r="S502" i="5"/>
  <c r="S74" i="5"/>
  <c r="S75" i="5"/>
  <c r="S40" i="5"/>
  <c r="S43" i="5"/>
  <c r="S121" i="5"/>
  <c r="S137" i="5"/>
  <c r="S116" i="5"/>
  <c r="S134" i="5"/>
  <c r="S128" i="5"/>
  <c r="S161" i="5"/>
  <c r="S177" i="5"/>
  <c r="S188" i="5"/>
  <c r="S231" i="5"/>
  <c r="S263" i="5"/>
  <c r="S284" i="5"/>
  <c r="S335" i="5"/>
  <c r="S297" i="5"/>
  <c r="S354" i="5"/>
  <c r="S326" i="5"/>
  <c r="S314" i="5"/>
  <c r="S374" i="5"/>
  <c r="S379" i="5"/>
  <c r="S377" i="5"/>
  <c r="S411" i="5"/>
  <c r="S401" i="5"/>
  <c r="S413" i="5"/>
  <c r="S464" i="5"/>
  <c r="S438" i="5"/>
  <c r="S477" i="5"/>
  <c r="S497" i="5"/>
  <c r="S507" i="5"/>
  <c r="S521" i="5"/>
  <c r="S513" i="5"/>
  <c r="S531" i="5"/>
  <c r="S542" i="5"/>
  <c r="S554" i="5"/>
  <c r="S551" i="5"/>
  <c r="S79" i="5"/>
  <c r="S69" i="5"/>
  <c r="S92" i="5"/>
  <c r="S141" i="5"/>
  <c r="S120" i="5"/>
  <c r="S155" i="5"/>
  <c r="S220" i="5"/>
  <c r="S256" i="5"/>
  <c r="S292" i="5"/>
  <c r="S429" i="5"/>
  <c r="S418" i="5"/>
  <c r="S522" i="5"/>
  <c r="S548" i="5"/>
  <c r="S37" i="5"/>
  <c r="S24" i="5"/>
  <c r="S151" i="5"/>
  <c r="S211" i="5"/>
  <c r="S264" i="5"/>
  <c r="S90" i="5"/>
  <c r="S83" i="5"/>
  <c r="S113" i="5"/>
  <c r="S140" i="5"/>
  <c r="S130" i="5"/>
  <c r="S186" i="5"/>
  <c r="S153" i="5"/>
  <c r="S180" i="5"/>
  <c r="S178" i="5"/>
  <c r="S198" i="5"/>
  <c r="S201" i="5"/>
  <c r="S222" i="5"/>
  <c r="S259" i="5"/>
  <c r="S289" i="5"/>
  <c r="S300" i="5"/>
  <c r="S330" i="5"/>
  <c r="S339" i="5"/>
  <c r="S371" i="5"/>
  <c r="S399" i="5"/>
  <c r="S412" i="5"/>
  <c r="S431" i="5"/>
  <c r="S435" i="5"/>
  <c r="S439" i="5"/>
  <c r="S459" i="5"/>
  <c r="S469" i="5"/>
  <c r="S471" i="5"/>
  <c r="S504" i="5"/>
  <c r="S518" i="5"/>
  <c r="S537" i="5"/>
  <c r="S76" i="5"/>
  <c r="S59" i="5"/>
  <c r="S97" i="5"/>
  <c r="S122" i="5"/>
  <c r="S112" i="5"/>
  <c r="S174" i="5"/>
  <c r="S156" i="5"/>
  <c r="S183" i="5"/>
  <c r="S240" i="5"/>
  <c r="S228" i="5"/>
  <c r="S283" i="5"/>
  <c r="S279" i="5"/>
  <c r="S301" i="5"/>
  <c r="S307" i="5"/>
  <c r="S355" i="5"/>
  <c r="S303" i="5"/>
  <c r="S334" i="5"/>
  <c r="S346" i="5"/>
  <c r="S351" i="5"/>
  <c r="S363" i="5"/>
  <c r="S383" i="5"/>
  <c r="S386" i="5"/>
  <c r="S424" i="5"/>
  <c r="S447" i="5"/>
  <c r="S423" i="5"/>
  <c r="S416" i="5"/>
  <c r="S440" i="5"/>
  <c r="S480" i="5"/>
  <c r="S488" i="5"/>
  <c r="S494" i="5"/>
  <c r="S516" i="5"/>
  <c r="S514" i="5"/>
  <c r="S524" i="5"/>
  <c r="S533" i="5"/>
  <c r="S557" i="5"/>
  <c r="S78" i="5"/>
  <c r="S51" i="5"/>
  <c r="S187" i="5"/>
  <c r="S185" i="5"/>
  <c r="S215" i="5"/>
  <c r="S396" i="5"/>
  <c r="S29" i="5"/>
  <c r="S27" i="5"/>
  <c r="S138" i="5"/>
  <c r="S88" i="5"/>
  <c r="S35" i="5"/>
  <c r="S136" i="5"/>
  <c r="S158" i="5"/>
  <c r="S170" i="5"/>
  <c r="S147" i="5"/>
  <c r="S199" i="5"/>
  <c r="S223" i="5"/>
  <c r="S206" i="5"/>
  <c r="S242" i="5"/>
  <c r="S271" i="5"/>
  <c r="S253" i="5"/>
  <c r="S255" i="5"/>
  <c r="S273" i="5"/>
  <c r="S359" i="5"/>
  <c r="S323" i="5"/>
  <c r="S310" i="5"/>
  <c r="S332" i="5"/>
  <c r="S315" i="5"/>
  <c r="S311" i="5"/>
  <c r="S331" i="5"/>
  <c r="S352" i="5"/>
  <c r="S385" i="5"/>
  <c r="S395" i="5"/>
  <c r="S407" i="5"/>
  <c r="S387" i="5"/>
  <c r="S453" i="5"/>
  <c r="S490" i="5"/>
  <c r="S484" i="5"/>
  <c r="S476" i="5"/>
  <c r="S495" i="5"/>
  <c r="S501" i="5"/>
  <c r="S543" i="5"/>
  <c r="S107" i="5"/>
  <c r="S99" i="5"/>
  <c r="S109" i="5"/>
  <c r="S105" i="5"/>
  <c r="S132" i="5"/>
  <c r="S207" i="5"/>
  <c r="S203" i="5"/>
  <c r="S257" i="5"/>
  <c r="S340" i="5"/>
  <c r="S444" i="5"/>
  <c r="S510" i="5"/>
  <c r="S53" i="5"/>
  <c r="S114" i="5"/>
  <c r="S247" i="5"/>
  <c r="S96" i="5"/>
  <c r="S82" i="5"/>
  <c r="S72" i="5"/>
  <c r="S110" i="5"/>
  <c r="S167" i="5"/>
  <c r="S162" i="5"/>
  <c r="S154" i="5"/>
  <c r="S169" i="5"/>
  <c r="S195" i="5"/>
  <c r="S200" i="5"/>
  <c r="S219" i="5"/>
  <c r="S239" i="5"/>
  <c r="S287" i="5"/>
  <c r="S282" i="5"/>
  <c r="S295" i="5"/>
  <c r="S318" i="5"/>
  <c r="S342" i="5"/>
  <c r="S338" i="5"/>
  <c r="S347" i="5"/>
  <c r="S362" i="5"/>
  <c r="S402" i="5"/>
  <c r="S388" i="5"/>
  <c r="S426" i="5"/>
  <c r="S443" i="5"/>
  <c r="S451" i="5"/>
  <c r="S481" i="5"/>
  <c r="S530" i="5"/>
  <c r="S539" i="5"/>
  <c r="S558" i="5"/>
  <c r="S182" i="5"/>
  <c r="S193" i="5"/>
  <c r="S251" i="5"/>
  <c r="S285" i="5"/>
  <c r="S419" i="5"/>
  <c r="S452" i="5"/>
  <c r="S472" i="5"/>
  <c r="S45" i="5"/>
  <c r="S32" i="5"/>
  <c r="S225" i="5"/>
  <c r="S214" i="5"/>
  <c r="S393" i="5"/>
  <c r="S455" i="5"/>
  <c r="S535" i="5"/>
  <c r="S465" i="5"/>
  <c r="S391" i="5"/>
  <c r="S293" i="5"/>
  <c r="S446" i="5"/>
  <c r="S538" i="5"/>
  <c r="S559" i="5"/>
  <c r="S499" i="5"/>
  <c r="S322" i="5"/>
  <c r="S304" i="5"/>
  <c r="S357" i="5"/>
  <c r="S306" i="5"/>
  <c r="S511" i="5"/>
  <c r="S290" i="5"/>
  <c r="S421" i="5"/>
  <c r="S461" i="5"/>
  <c r="B23" i="5"/>
  <c r="B142" i="3"/>
  <c r="S7" i="5"/>
  <c r="BD12" i="5"/>
  <c r="BC12" i="5"/>
  <c r="BD7" i="5"/>
  <c r="BC7" i="5"/>
  <c r="BC8" i="5"/>
  <c r="BD8" i="5"/>
  <c r="BD13" i="5"/>
  <c r="BC13" i="5"/>
  <c r="S8" i="5"/>
  <c r="S13" i="5"/>
  <c r="S12" i="5"/>
  <c r="B21" i="5"/>
  <c r="J47" i="5"/>
  <c r="B124" i="3"/>
  <c r="B14" i="3"/>
  <c r="E43" i="1"/>
  <c r="B4" i="3"/>
  <c r="B5" i="3"/>
  <c r="B11" i="3"/>
  <c r="B3" i="3"/>
  <c r="AJ468" i="5" l="1"/>
  <c r="AJ130" i="5"/>
  <c r="AK497" i="5"/>
  <c r="AJ137" i="5"/>
  <c r="AJ385" i="5"/>
  <c r="AJ366" i="5"/>
  <c r="AJ409" i="5"/>
  <c r="AJ24" i="5"/>
  <c r="AK180" i="5"/>
  <c r="AK494" i="5"/>
  <c r="AK400" i="5"/>
  <c r="AK282" i="5"/>
  <c r="AJ146" i="5"/>
  <c r="AJ509" i="5"/>
  <c r="AJ559" i="5"/>
  <c r="AJ272" i="5"/>
  <c r="AK97" i="5"/>
  <c r="AJ309" i="5"/>
  <c r="AK312" i="5"/>
  <c r="AK350" i="5"/>
  <c r="AJ129" i="5"/>
  <c r="AK68" i="5"/>
  <c r="AJ470" i="5"/>
  <c r="AJ23" i="5"/>
  <c r="AK491" i="5"/>
  <c r="AJ341" i="5"/>
  <c r="AJ520" i="5"/>
  <c r="AJ340" i="5"/>
  <c r="AK138" i="5"/>
  <c r="AK510" i="5"/>
  <c r="AJ467" i="5"/>
  <c r="AJ116" i="5"/>
  <c r="AJ89" i="5"/>
  <c r="AK386" i="5"/>
  <c r="AK507" i="5"/>
  <c r="AK410" i="5"/>
  <c r="AJ268" i="5"/>
  <c r="AJ44" i="5"/>
  <c r="AJ121" i="5"/>
  <c r="AK239" i="5"/>
  <c r="AK152" i="5"/>
  <c r="AJ548" i="5"/>
  <c r="AK287" i="5"/>
  <c r="AJ90" i="5"/>
  <c r="AK243" i="5"/>
  <c r="AJ319" i="5"/>
  <c r="AK395" i="5"/>
  <c r="AJ527" i="5"/>
  <c r="AK85" i="5"/>
  <c r="AJ401" i="5"/>
  <c r="AJ63" i="5"/>
  <c r="AK358" i="5"/>
  <c r="AJ38" i="5"/>
  <c r="AK83" i="5"/>
  <c r="AK54" i="5"/>
  <c r="AJ43" i="5"/>
  <c r="AJ517" i="5"/>
  <c r="AJ275" i="5"/>
  <c r="AJ429" i="5"/>
  <c r="AK391" i="5"/>
  <c r="AJ93" i="5"/>
  <c r="AK240" i="5"/>
  <c r="AJ28" i="5"/>
  <c r="AK264" i="5"/>
  <c r="AJ72" i="5"/>
  <c r="AJ432" i="5"/>
  <c r="AK516" i="5"/>
  <c r="AK120" i="5"/>
  <c r="AK456" i="5"/>
  <c r="AJ560" i="5"/>
  <c r="AK156" i="5"/>
  <c r="AJ492" i="5"/>
  <c r="AJ214" i="5"/>
  <c r="AK109" i="5"/>
  <c r="AJ524" i="5"/>
  <c r="AJ335" i="5"/>
  <c r="AK387" i="5"/>
  <c r="AK198" i="5"/>
  <c r="AK450" i="5"/>
  <c r="AK133" i="5"/>
  <c r="AK430" i="5"/>
  <c r="AK297" i="5"/>
  <c r="AJ476" i="5"/>
  <c r="AK108" i="5"/>
  <c r="AK276" i="5"/>
  <c r="AJ164" i="5"/>
  <c r="AJ540" i="5"/>
  <c r="AS10" i="5"/>
  <c r="AT10" i="5" s="1"/>
  <c r="AY10" i="5"/>
  <c r="BA10" i="5" s="1"/>
  <c r="AJ189" i="5"/>
  <c r="AK21" i="5"/>
  <c r="AJ484" i="5"/>
  <c r="AK36" i="5"/>
  <c r="AK505" i="5"/>
  <c r="AJ205" i="5"/>
  <c r="AK286" i="5"/>
  <c r="AJ269" i="5"/>
  <c r="AJ174" i="5"/>
  <c r="AK362" i="5"/>
  <c r="AJ349" i="5"/>
  <c r="AJ539" i="5"/>
  <c r="AJ351" i="5"/>
  <c r="AK79" i="5"/>
  <c r="AJ246" i="5"/>
  <c r="AK346" i="5"/>
  <c r="AJ8" i="5"/>
  <c r="AJ285" i="5"/>
  <c r="AJ426" i="5"/>
  <c r="AK102" i="5"/>
  <c r="AK547" i="5"/>
  <c r="AK235" i="5"/>
  <c r="AJ403" i="5"/>
  <c r="AJ13" i="5"/>
  <c r="AK378" i="5"/>
  <c r="AK416" i="5"/>
  <c r="AK124" i="5"/>
  <c r="AJ347" i="5"/>
  <c r="AK411" i="5"/>
  <c r="AJ478" i="5"/>
  <c r="AJ408" i="5"/>
  <c r="AJ224" i="5"/>
  <c r="AJ250" i="5"/>
  <c r="AJ271" i="5"/>
  <c r="AJ364" i="5"/>
  <c r="AK26" i="5"/>
  <c r="AJ463" i="5"/>
  <c r="AK167" i="5"/>
  <c r="AK48" i="5"/>
  <c r="AK352" i="5"/>
  <c r="AJ117" i="5"/>
  <c r="AK177" i="5"/>
  <c r="AK422" i="5"/>
  <c r="AJ542" i="5"/>
  <c r="AJ457" i="5"/>
  <c r="AK407" i="5"/>
  <c r="AJ143" i="5"/>
  <c r="AJ225" i="5"/>
  <c r="AK326" i="5"/>
  <c r="AJ37" i="5"/>
  <c r="AJ86" i="5"/>
  <c r="AK435" i="5"/>
  <c r="AJ325" i="5"/>
  <c r="AK87" i="5"/>
  <c r="AJ150" i="5"/>
  <c r="AK50" i="5"/>
  <c r="AJ223" i="5"/>
  <c r="AK52" i="5"/>
  <c r="AK479" i="5"/>
  <c r="AK258" i="5"/>
  <c r="AJ534" i="5"/>
  <c r="AJ427" i="5"/>
  <c r="AJ303" i="5"/>
  <c r="AJ511" i="5"/>
  <c r="AJ296" i="5"/>
  <c r="AJ423" i="5"/>
  <c r="AK317" i="5"/>
  <c r="AJ51" i="5"/>
  <c r="AJ154" i="5"/>
  <c r="AJ314" i="5"/>
  <c r="AK80" i="5"/>
  <c r="AK489" i="5"/>
  <c r="AJ237" i="5"/>
  <c r="AJ7" i="5"/>
  <c r="T39" i="6"/>
  <c r="V39" i="6" s="1"/>
  <c r="AM39" i="6" s="1"/>
  <c r="B21" i="3"/>
  <c r="AS88" i="8"/>
  <c r="AS126" i="8"/>
  <c r="AS153" i="8"/>
  <c r="AS52" i="8"/>
  <c r="AS90" i="8"/>
  <c r="AS117" i="8"/>
  <c r="AS16" i="8"/>
  <c r="AS54" i="8"/>
  <c r="AS17" i="8"/>
  <c r="AS63" i="8"/>
  <c r="AS74" i="8"/>
  <c r="AS72" i="8"/>
  <c r="AS110" i="8"/>
  <c r="AS37" i="8"/>
  <c r="AS83" i="8"/>
  <c r="AS100" i="8"/>
  <c r="AS124" i="8"/>
  <c r="AS15" i="8"/>
  <c r="AS138" i="8"/>
  <c r="AS38" i="8"/>
  <c r="AS84" i="8"/>
  <c r="AS156" i="8"/>
  <c r="AS157" i="8"/>
  <c r="AS56" i="8"/>
  <c r="AS94" i="8"/>
  <c r="AS121" i="8"/>
  <c r="AS20" i="8"/>
  <c r="AS58" i="8"/>
  <c r="AS85" i="8"/>
  <c r="AS131" i="8"/>
  <c r="AS22" i="8"/>
  <c r="AS140" i="8"/>
  <c r="AS31" i="8"/>
  <c r="AS141" i="8"/>
  <c r="AS40" i="8"/>
  <c r="AS78" i="8"/>
  <c r="AS7" i="8"/>
  <c r="AS51" i="8"/>
  <c r="AS87" i="8"/>
  <c r="AS92" i="8"/>
  <c r="AS130" i="8"/>
  <c r="AS151" i="8"/>
  <c r="AS118" i="8"/>
  <c r="AS127" i="8"/>
  <c r="AS18" i="8"/>
  <c r="AS101" i="8"/>
  <c r="AS9" i="8"/>
  <c r="AS48" i="8"/>
  <c r="AS49" i="8"/>
  <c r="AS105" i="8"/>
  <c r="AS69" i="8"/>
  <c r="AS42" i="8"/>
  <c r="AS125" i="8"/>
  <c r="AS24" i="8"/>
  <c r="AS62" i="8"/>
  <c r="AS89" i="8"/>
  <c r="AS135" i="8"/>
  <c r="AS26" i="8"/>
  <c r="AS53" i="8"/>
  <c r="AS99" i="8"/>
  <c r="AS73" i="8"/>
  <c r="AS108" i="8"/>
  <c r="AS146" i="8"/>
  <c r="AS109" i="8"/>
  <c r="AS155" i="8"/>
  <c r="AS46" i="8"/>
  <c r="AS128" i="8"/>
  <c r="AS19" i="8"/>
  <c r="AS8" i="8"/>
  <c r="AS60" i="8"/>
  <c r="AS98" i="8"/>
  <c r="AS152" i="8"/>
  <c r="AS27" i="8"/>
  <c r="AS55" i="8"/>
  <c r="AS23" i="8"/>
  <c r="AS115" i="8"/>
  <c r="AS93" i="8"/>
  <c r="AS139" i="8"/>
  <c r="AS30" i="8"/>
  <c r="AS57" i="8"/>
  <c r="AS103" i="8"/>
  <c r="AS10" i="8"/>
  <c r="AS21" i="8"/>
  <c r="AS67" i="8"/>
  <c r="AS106" i="8"/>
  <c r="AS76" i="8"/>
  <c r="AS114" i="8"/>
  <c r="AS77" i="8"/>
  <c r="AS123" i="8"/>
  <c r="AS11" i="8"/>
  <c r="AS96" i="8"/>
  <c r="AS134" i="8"/>
  <c r="AS129" i="8"/>
  <c r="AS28" i="8"/>
  <c r="AS66" i="8"/>
  <c r="AS154" i="8"/>
  <c r="AS147" i="8"/>
  <c r="AS122" i="8"/>
  <c r="AS14" i="8"/>
  <c r="AS61" i="8"/>
  <c r="AS107" i="8"/>
  <c r="AS41" i="8"/>
  <c r="AS25" i="8"/>
  <c r="AS71" i="8"/>
  <c r="AS68" i="8"/>
  <c r="AS144" i="8"/>
  <c r="AS35" i="8"/>
  <c r="AS145" i="8"/>
  <c r="AS44" i="8"/>
  <c r="AS82" i="8"/>
  <c r="AS45" i="8"/>
  <c r="AS91" i="8"/>
  <c r="AS137" i="8"/>
  <c r="AS64" i="8"/>
  <c r="AS102" i="8"/>
  <c r="AS97" i="8"/>
  <c r="AS143" i="8"/>
  <c r="AS34" i="8"/>
  <c r="AS116" i="8"/>
  <c r="AS79" i="8"/>
  <c r="AS149" i="8"/>
  <c r="AS29" i="8"/>
  <c r="AS75" i="8"/>
  <c r="AS36" i="8"/>
  <c r="AS148" i="8"/>
  <c r="AS39" i="8"/>
  <c r="AS119" i="8"/>
  <c r="AS112" i="8"/>
  <c r="AS150" i="8"/>
  <c r="AS113" i="8"/>
  <c r="AS12" i="8"/>
  <c r="AS50" i="8"/>
  <c r="AS13" i="8"/>
  <c r="AS59" i="8"/>
  <c r="AS133" i="8"/>
  <c r="AS32" i="8"/>
  <c r="AS70" i="8"/>
  <c r="AS65" i="8"/>
  <c r="AS111" i="8"/>
  <c r="AS132" i="8"/>
  <c r="AS43" i="8"/>
  <c r="AS80" i="8"/>
  <c r="AS81" i="8"/>
  <c r="AS136" i="8"/>
  <c r="AS33" i="8"/>
  <c r="AS120" i="8"/>
  <c r="AS86" i="8"/>
  <c r="AS95" i="8"/>
  <c r="AS104" i="8"/>
  <c r="AS142" i="8"/>
  <c r="AS47" i="8"/>
  <c r="AK123" i="5"/>
  <c r="AK498" i="5"/>
  <c r="AK370" i="5"/>
  <c r="AK266" i="5"/>
  <c r="O12" i="8"/>
  <c r="T118" i="8" s="1"/>
  <c r="V118" i="8" s="1"/>
  <c r="AM118" i="8" s="1"/>
  <c r="AK292" i="5"/>
  <c r="AK307" i="5"/>
  <c r="AK308" i="5"/>
  <c r="AK221" i="5"/>
  <c r="AK249" i="5"/>
  <c r="AK201" i="5"/>
  <c r="AK449" i="5"/>
  <c r="AJ343" i="5"/>
  <c r="AJ53" i="5"/>
  <c r="AK147" i="5"/>
  <c r="AJ461" i="5"/>
  <c r="AJ371" i="5"/>
  <c r="AK295" i="5"/>
  <c r="AJ474" i="5"/>
  <c r="AK118" i="5"/>
  <c r="AJ354" i="5"/>
  <c r="AJ259" i="5"/>
  <c r="AK260" i="5"/>
  <c r="AK441" i="5"/>
  <c r="AK141" i="5"/>
  <c r="AJ334" i="5"/>
  <c r="AJ465" i="5"/>
  <c r="AK39" i="5"/>
  <c r="AJ73" i="5"/>
  <c r="AK244" i="5"/>
  <c r="AJ439" i="5"/>
  <c r="AK288" i="5"/>
  <c r="AK231" i="5"/>
  <c r="AJ550" i="5"/>
  <c r="AK345" i="5"/>
  <c r="AJ194" i="5"/>
  <c r="AK107" i="5"/>
  <c r="AJ549" i="5"/>
  <c r="AJ226" i="5"/>
  <c r="AJ47" i="5"/>
  <c r="AK35" i="5"/>
  <c r="AJ519" i="5"/>
  <c r="AJ515" i="5"/>
  <c r="AK42" i="5"/>
  <c r="AK254" i="5"/>
  <c r="AK182" i="5"/>
  <c r="AJ247" i="5"/>
  <c r="AK59" i="5"/>
  <c r="AK412" i="5"/>
  <c r="AK538" i="5"/>
  <c r="AJ199" i="5"/>
  <c r="AK556" i="5"/>
  <c r="AK140" i="5"/>
  <c r="AK195" i="5"/>
  <c r="AK197" i="5"/>
  <c r="AJ348" i="5"/>
  <c r="AJ544" i="5"/>
  <c r="AK104" i="5"/>
  <c r="AJ31" i="5"/>
  <c r="AJ390" i="5"/>
  <c r="AJ132" i="5"/>
  <c r="AJ320" i="5"/>
  <c r="AK342" i="5"/>
  <c r="AK77" i="5"/>
  <c r="AJ402" i="5"/>
  <c r="AJ415" i="5"/>
  <c r="AJ170" i="5"/>
  <c r="AJ281" i="5"/>
  <c r="AJ219" i="5"/>
  <c r="AJ126" i="5"/>
  <c r="AJ103" i="5"/>
  <c r="AK513" i="5"/>
  <c r="AJ101" i="5"/>
  <c r="AJ206" i="5"/>
  <c r="AK466" i="5"/>
  <c r="AK61" i="5"/>
  <c r="AJ279" i="5"/>
  <c r="AJ157" i="5"/>
  <c r="AJ377" i="5"/>
  <c r="AJ200" i="5"/>
  <c r="AJ455" i="5"/>
  <c r="AJ313" i="5"/>
  <c r="AJ253" i="5"/>
  <c r="AK158" i="5"/>
  <c r="AJ113" i="5"/>
  <c r="AJ216" i="5"/>
  <c r="AK514" i="5"/>
  <c r="AJ81" i="5"/>
  <c r="AJ78" i="5"/>
  <c r="AK32" i="5"/>
  <c r="AJ289" i="5"/>
  <c r="AJ12" i="5"/>
  <c r="AJ293" i="5"/>
  <c r="AK406" i="5"/>
  <c r="AJ419" i="5"/>
  <c r="AJ355" i="5"/>
  <c r="AJ526" i="5"/>
  <c r="AJ278" i="5"/>
  <c r="AK229" i="5"/>
  <c r="AJ255" i="5"/>
  <c r="AK211" i="5"/>
  <c r="AJ444" i="5"/>
  <c r="AK446" i="5"/>
  <c r="AK222" i="5"/>
  <c r="AK136" i="5"/>
  <c r="AK537" i="5"/>
  <c r="AJ469" i="5"/>
  <c r="AK482" i="5"/>
  <c r="AK495" i="5"/>
  <c r="AK242" i="5"/>
  <c r="AJ105" i="5"/>
  <c r="AK339" i="5"/>
  <c r="AJ55" i="5"/>
  <c r="AJ399" i="5"/>
  <c r="AJ183" i="5"/>
  <c r="AJ318" i="5"/>
  <c r="AJ196" i="5"/>
  <c r="AJ421" i="5"/>
  <c r="AJ185" i="5"/>
  <c r="AJ448" i="5"/>
  <c r="AJ383" i="5"/>
  <c r="AJ374" i="5"/>
  <c r="AJ227" i="5"/>
  <c r="AJ139" i="5"/>
  <c r="AK274" i="5"/>
  <c r="AK127" i="5"/>
  <c r="AJ328" i="5"/>
  <c r="AJ75" i="5"/>
  <c r="AK165" i="5"/>
  <c r="AK159" i="5"/>
  <c r="AJ30" i="5"/>
  <c r="AJ163" i="5"/>
  <c r="AK151" i="5"/>
  <c r="AJ71" i="5"/>
  <c r="AK168" i="5"/>
  <c r="AJ327" i="5"/>
  <c r="AJ532" i="5"/>
  <c r="AJ241" i="5"/>
  <c r="AK29" i="5"/>
  <c r="AK398" i="5"/>
  <c r="AJ336" i="5"/>
  <c r="AJ215" i="5"/>
  <c r="AJ464" i="5"/>
  <c r="AJ369" i="5"/>
  <c r="AK99" i="5"/>
  <c r="AJ131" i="5"/>
  <c r="AK257" i="5"/>
  <c r="AJ283" i="5"/>
  <c r="AJ217" i="5"/>
  <c r="AJ533" i="5"/>
  <c r="AK381" i="5"/>
  <c r="AJ267" i="5"/>
  <c r="AJ251" i="5"/>
  <c r="AJ311" i="5"/>
  <c r="AJ452" i="5"/>
  <c r="AK128" i="5"/>
  <c r="AK323" i="5"/>
  <c r="AK424" i="5"/>
  <c r="AJ160" i="5"/>
  <c r="AJ82" i="5"/>
  <c r="AJ91" i="5"/>
  <c r="AK236" i="5"/>
  <c r="AK322" i="5"/>
  <c r="AJ234" i="5"/>
  <c r="AJ379" i="5"/>
  <c r="AK190" i="5"/>
  <c r="AK438" i="5"/>
  <c r="AK173" i="5"/>
  <c r="AK359" i="5"/>
  <c r="AJ380" i="5"/>
  <c r="AJ112" i="5"/>
  <c r="AJ338" i="5"/>
  <c r="AK332" i="5"/>
  <c r="AK437" i="5"/>
  <c r="AK392" i="5"/>
  <c r="AJ218" i="5"/>
  <c r="AK504" i="5"/>
  <c r="AK301" i="5"/>
  <c r="AJ277" i="5"/>
  <c r="AK40" i="5"/>
  <c r="AJ384" i="5"/>
  <c r="AK66" i="5"/>
  <c r="AJ65" i="5"/>
  <c r="AJ376" i="5"/>
  <c r="AJ122" i="5"/>
  <c r="AJ353" i="5"/>
  <c r="AK360" i="5"/>
  <c r="AK414" i="5"/>
  <c r="AK95" i="5"/>
  <c r="AJ333" i="5"/>
  <c r="AJ188" i="5"/>
  <c r="AJ110" i="5"/>
  <c r="AJ528" i="5"/>
  <c r="AJ473" i="5"/>
  <c r="AJ49" i="5"/>
  <c r="AJ248" i="5"/>
  <c r="AK20" i="5"/>
  <c r="AK280" i="5"/>
  <c r="AJ96" i="5"/>
  <c r="AK262" i="5"/>
  <c r="AJ321" i="5"/>
  <c r="AJ144" i="5"/>
  <c r="AK454" i="5"/>
  <c r="AJ208" i="5"/>
  <c r="AJ232" i="5"/>
  <c r="AJ230" i="5"/>
  <c r="AK238" i="5"/>
  <c r="AK299" i="5"/>
  <c r="AJ84" i="5"/>
  <c r="AK62" i="5"/>
  <c r="AJ290" i="5"/>
  <c r="AJ210" i="5"/>
  <c r="AJ420" i="5"/>
  <c r="AJ428" i="5"/>
  <c r="AK382" i="5"/>
  <c r="AK405" i="5"/>
  <c r="AK546" i="5"/>
  <c r="AJ373" i="5"/>
  <c r="AJ425" i="5"/>
  <c r="AJ305" i="5"/>
  <c r="AK543" i="5"/>
  <c r="AK155" i="5"/>
  <c r="AJ529" i="5"/>
  <c r="AK149" i="5"/>
  <c r="AJ536" i="5"/>
  <c r="AK70" i="5"/>
  <c r="AJ302" i="5"/>
  <c r="AK541" i="5"/>
  <c r="AJ209" i="5"/>
  <c r="AJ233" i="5"/>
  <c r="AK508" i="5"/>
  <c r="AK175" i="5"/>
  <c r="AJ356" i="5"/>
  <c r="AK142" i="5"/>
  <c r="AK153" i="5"/>
  <c r="AK46" i="5"/>
  <c r="AJ502" i="5"/>
  <c r="AJ298" i="5"/>
  <c r="AK125" i="5"/>
  <c r="AJ535" i="5"/>
  <c r="AJ202" i="5"/>
  <c r="AJ442" i="5"/>
  <c r="AK404" i="5"/>
  <c r="AJ41" i="5"/>
  <c r="AJ475" i="5"/>
  <c r="AJ552" i="5"/>
  <c r="AJ134" i="5"/>
  <c r="AK512" i="5"/>
  <c r="AJ192" i="5"/>
  <c r="AJ324" i="5"/>
  <c r="AJ344" i="5"/>
  <c r="AJ60" i="5"/>
  <c r="AK56" i="5"/>
  <c r="AJ365" i="5"/>
  <c r="AJ176" i="5"/>
  <c r="AJ462" i="5"/>
  <c r="AK181" i="5"/>
  <c r="AK483" i="5"/>
  <c r="AJ436" i="5"/>
  <c r="AJ111" i="5"/>
  <c r="AK397" i="5"/>
  <c r="AJ372" i="5"/>
  <c r="AJ375" i="5"/>
  <c r="AK368" i="5"/>
  <c r="AJ477" i="5"/>
  <c r="AJ417" i="5"/>
  <c r="AJ522" i="5"/>
  <c r="AJ453" i="5"/>
  <c r="AJ361" i="5"/>
  <c r="AK388" i="5"/>
  <c r="AK337" i="5"/>
  <c r="AJ506" i="5"/>
  <c r="AJ245" i="5"/>
  <c r="AK445" i="5"/>
  <c r="AK523" i="5"/>
  <c r="S276" i="5"/>
  <c r="T276" i="5" s="1"/>
  <c r="S373" i="5"/>
  <c r="U373" i="5" s="1"/>
  <c r="S491" i="5"/>
  <c r="U491" i="5" s="1"/>
  <c r="S73" i="5"/>
  <c r="T73" i="5" s="1"/>
  <c r="S229" i="5"/>
  <c r="U229" i="5" s="1"/>
  <c r="S505" i="5"/>
  <c r="U505" i="5" s="1"/>
  <c r="S298" i="5"/>
  <c r="U298" i="5" s="1"/>
  <c r="S384" i="5"/>
  <c r="T384" i="5" s="1"/>
  <c r="S553" i="5"/>
  <c r="U553" i="5" s="1"/>
  <c r="S115" i="5"/>
  <c r="U115" i="5" s="1"/>
  <c r="S305" i="5"/>
  <c r="T305" i="5" s="1"/>
  <c r="S506" i="5"/>
  <c r="U506" i="5" s="1"/>
  <c r="S236" i="5"/>
  <c r="T236" i="5" s="1"/>
  <c r="S345" i="5"/>
  <c r="U345" i="5" s="1"/>
  <c r="S397" i="5"/>
  <c r="U397" i="5" s="1"/>
  <c r="S48" i="5"/>
  <c r="T48" i="5" s="1"/>
  <c r="S157" i="5"/>
  <c r="T157" i="5" s="1"/>
  <c r="S344" i="5"/>
  <c r="T344" i="5" s="1"/>
  <c r="S241" i="5"/>
  <c r="U241" i="5" s="1"/>
  <c r="S353" i="5"/>
  <c r="U353" i="5" s="1"/>
  <c r="S427" i="5"/>
  <c r="T427" i="5" s="1"/>
  <c r="S202" i="5"/>
  <c r="T202" i="5" s="1"/>
  <c r="S176" i="5"/>
  <c r="U176" i="5" s="1"/>
  <c r="S348" i="5"/>
  <c r="U348" i="5" s="1"/>
  <c r="S245" i="5"/>
  <c r="T245" i="5" s="1"/>
  <c r="S356" i="5"/>
  <c r="T356" i="5" s="1"/>
  <c r="S432" i="5"/>
  <c r="U432" i="5" s="1"/>
  <c r="S238" i="5"/>
  <c r="U238" i="5" s="1"/>
  <c r="S189" i="5"/>
  <c r="U189" i="5" s="1"/>
  <c r="S360" i="5"/>
  <c r="T360" i="5" s="1"/>
  <c r="S274" i="5"/>
  <c r="T274" i="5" s="1"/>
  <c r="S372" i="5"/>
  <c r="T372" i="5" s="1"/>
  <c r="S483" i="5"/>
  <c r="U483" i="5" s="1"/>
  <c r="S62" i="5"/>
  <c r="T62" i="5" s="1"/>
  <c r="S213" i="5"/>
  <c r="U213" i="5" s="1"/>
  <c r="S436" i="5"/>
  <c r="T436" i="5" s="1"/>
  <c r="S508" i="5"/>
  <c r="U508" i="5" s="1"/>
  <c r="S286" i="5"/>
  <c r="T286" i="5" s="1"/>
  <c r="S433" i="5"/>
  <c r="U433" i="5" s="1"/>
  <c r="S545" i="5"/>
  <c r="U545" i="5" s="1"/>
  <c r="S449" i="5"/>
  <c r="T449" i="5" s="1"/>
  <c r="S324" i="5"/>
  <c r="T324" i="5" s="1"/>
  <c r="S473" i="5"/>
  <c r="U473" i="5" s="1"/>
  <c r="S478" i="5"/>
  <c r="U478" i="5" s="1"/>
  <c r="AI10" i="5"/>
  <c r="AK10" i="5" s="1"/>
  <c r="C183" i="3"/>
  <c r="B183" i="3" s="1"/>
  <c r="I69" i="2" s="1"/>
  <c r="B113" i="3"/>
  <c r="B112" i="3"/>
  <c r="I57" i="2" s="1"/>
  <c r="AV10" i="5"/>
  <c r="AW10" i="5" s="1"/>
  <c r="E124" i="1"/>
  <c r="B228" i="3"/>
  <c r="B211" i="3"/>
  <c r="AS115" i="6"/>
  <c r="AS98" i="6"/>
  <c r="AS24" i="6"/>
  <c r="AS143" i="6"/>
  <c r="AS127" i="6"/>
  <c r="AS16" i="6"/>
  <c r="AS130" i="6"/>
  <c r="AS125" i="6"/>
  <c r="AS86" i="6"/>
  <c r="AS122" i="6"/>
  <c r="AS23" i="6"/>
  <c r="AS157" i="6"/>
  <c r="AS102" i="6"/>
  <c r="AS128" i="6"/>
  <c r="AS62" i="6"/>
  <c r="AS59" i="6"/>
  <c r="AS7" i="6"/>
  <c r="AS131" i="6"/>
  <c r="AS52" i="6"/>
  <c r="AS105" i="6"/>
  <c r="AS65" i="6"/>
  <c r="AS93" i="6"/>
  <c r="AS132" i="6"/>
  <c r="AS33" i="6"/>
  <c r="AS56" i="6"/>
  <c r="AS78" i="6"/>
  <c r="AS8" i="6"/>
  <c r="AS51" i="6"/>
  <c r="AS11" i="6"/>
  <c r="AS74" i="6"/>
  <c r="AS110" i="6"/>
  <c r="AS26" i="6"/>
  <c r="AS103" i="6"/>
  <c r="AS154" i="6"/>
  <c r="AS137" i="6"/>
  <c r="AS97" i="6"/>
  <c r="AS139" i="6"/>
  <c r="AS151" i="6"/>
  <c r="AS67" i="6"/>
  <c r="AS39" i="6"/>
  <c r="AS38" i="6"/>
  <c r="AS114" i="6"/>
  <c r="AS46" i="6"/>
  <c r="AS156" i="6"/>
  <c r="AS22" i="6"/>
  <c r="AS88" i="6"/>
  <c r="AS45" i="6"/>
  <c r="AS57" i="6"/>
  <c r="AS85" i="6"/>
  <c r="AS149" i="6"/>
  <c r="AS96" i="6"/>
  <c r="AS64" i="6"/>
  <c r="AS40" i="6"/>
  <c r="AS84" i="6"/>
  <c r="AS54" i="6"/>
  <c r="AS89" i="6"/>
  <c r="AS53" i="6"/>
  <c r="AS21" i="6"/>
  <c r="AS108" i="6"/>
  <c r="AS109" i="6"/>
  <c r="AS104" i="6"/>
  <c r="AS118" i="6"/>
  <c r="AS55" i="6"/>
  <c r="AS124" i="6"/>
  <c r="AS19" i="6"/>
  <c r="AS15" i="6"/>
  <c r="AS134" i="6"/>
  <c r="AS116" i="6"/>
  <c r="AS60" i="6"/>
  <c r="AS100" i="6"/>
  <c r="AS152" i="6"/>
  <c r="AS113" i="6"/>
  <c r="AS155" i="6"/>
  <c r="AS73" i="6"/>
  <c r="AS41" i="6"/>
  <c r="AS31" i="6"/>
  <c r="AS111" i="6"/>
  <c r="AS79" i="6"/>
  <c r="AS90" i="6"/>
  <c r="AS150" i="6"/>
  <c r="AS80" i="6"/>
  <c r="AS129" i="6"/>
  <c r="AS30" i="6"/>
  <c r="AS63" i="6"/>
  <c r="AS145" i="6"/>
  <c r="AS29" i="6"/>
  <c r="AS77" i="6"/>
  <c r="AS153" i="6"/>
  <c r="AS147" i="6"/>
  <c r="AS75" i="6"/>
  <c r="AS34" i="6"/>
  <c r="AS92" i="6"/>
  <c r="AS10" i="6"/>
  <c r="AS136" i="6"/>
  <c r="AS20" i="6"/>
  <c r="AS82" i="6"/>
  <c r="AS35" i="6"/>
  <c r="AS32" i="6"/>
  <c r="AS133" i="6"/>
  <c r="AS99" i="6"/>
  <c r="AS117" i="6"/>
  <c r="AS50" i="6"/>
  <c r="AS70" i="6"/>
  <c r="AS119" i="6"/>
  <c r="AS135" i="6"/>
  <c r="AS142" i="6"/>
  <c r="AS47" i="6"/>
  <c r="AS43" i="6"/>
  <c r="AS144" i="6"/>
  <c r="AS107" i="6"/>
  <c r="AS58" i="6"/>
  <c r="AS66" i="6"/>
  <c r="AS44" i="6"/>
  <c r="AS13" i="6"/>
  <c r="AS42" i="6"/>
  <c r="AS120" i="6"/>
  <c r="AS14" i="6"/>
  <c r="AS87" i="6"/>
  <c r="AS68" i="6"/>
  <c r="AS76" i="6"/>
  <c r="AS123" i="6"/>
  <c r="AS95" i="6"/>
  <c r="AS72" i="6"/>
  <c r="AS12" i="6"/>
  <c r="AS106" i="6"/>
  <c r="AS140" i="6"/>
  <c r="AS121" i="6"/>
  <c r="AS71" i="6"/>
  <c r="AS126" i="6"/>
  <c r="AS141" i="6"/>
  <c r="AS146" i="6"/>
  <c r="AS28" i="6"/>
  <c r="AS9" i="6"/>
  <c r="AS112" i="6"/>
  <c r="AS83" i="6"/>
  <c r="AS27" i="6"/>
  <c r="AS36" i="6"/>
  <c r="AS81" i="6"/>
  <c r="AS148" i="6"/>
  <c r="AS94" i="6"/>
  <c r="AS138" i="6"/>
  <c r="AS17" i="6"/>
  <c r="AS91" i="6"/>
  <c r="AS69" i="6"/>
  <c r="AS37" i="6"/>
  <c r="AS25" i="6"/>
  <c r="AS18" i="6"/>
  <c r="AS61" i="6"/>
  <c r="AS49" i="6"/>
  <c r="AS48" i="6"/>
  <c r="AS101" i="6"/>
  <c r="U285" i="5"/>
  <c r="T285" i="5"/>
  <c r="U501" i="5"/>
  <c r="T501" i="5"/>
  <c r="U363" i="5"/>
  <c r="T363" i="5"/>
  <c r="T418" i="5"/>
  <c r="U418" i="5"/>
  <c r="T502" i="5"/>
  <c r="U502" i="5"/>
  <c r="U139" i="5"/>
  <c r="T139" i="5"/>
  <c r="T448" i="5"/>
  <c r="U448" i="5"/>
  <c r="U103" i="5"/>
  <c r="T103" i="5"/>
  <c r="U266" i="5"/>
  <c r="T266" i="5"/>
  <c r="U536" i="5"/>
  <c r="T536" i="5"/>
  <c r="U290" i="5"/>
  <c r="T290" i="5"/>
  <c r="U169" i="5"/>
  <c r="T169" i="5"/>
  <c r="U199" i="5"/>
  <c r="T199" i="5"/>
  <c r="U97" i="5"/>
  <c r="T97" i="5"/>
  <c r="U69" i="5"/>
  <c r="T69" i="5"/>
  <c r="T150" i="5"/>
  <c r="U150" i="5"/>
  <c r="T226" i="5"/>
  <c r="U226" i="5"/>
  <c r="T212" i="5"/>
  <c r="U212" i="5"/>
  <c r="U422" i="5"/>
  <c r="T422" i="5"/>
  <c r="U210" i="5"/>
  <c r="T210" i="5"/>
  <c r="T100" i="5"/>
  <c r="U100" i="5"/>
  <c r="U38" i="5"/>
  <c r="T38" i="5"/>
  <c r="U322" i="5"/>
  <c r="T322" i="5"/>
  <c r="U535" i="5"/>
  <c r="T535" i="5"/>
  <c r="U452" i="5"/>
  <c r="T452" i="5"/>
  <c r="T530" i="5"/>
  <c r="U530" i="5"/>
  <c r="U347" i="5"/>
  <c r="T347" i="5"/>
  <c r="U219" i="5"/>
  <c r="T219" i="5"/>
  <c r="U72" i="5"/>
  <c r="T72" i="5"/>
  <c r="U340" i="5"/>
  <c r="T340" i="5"/>
  <c r="T107" i="5"/>
  <c r="U107" i="5"/>
  <c r="T387" i="5"/>
  <c r="U387" i="5"/>
  <c r="U332" i="5"/>
  <c r="T332" i="5"/>
  <c r="T242" i="5"/>
  <c r="U242" i="5"/>
  <c r="U35" i="5"/>
  <c r="T35" i="5"/>
  <c r="T187" i="5"/>
  <c r="U187" i="5"/>
  <c r="T494" i="5"/>
  <c r="U494" i="5"/>
  <c r="U386" i="5"/>
  <c r="T386" i="5"/>
  <c r="U307" i="5"/>
  <c r="T307" i="5"/>
  <c r="U174" i="5"/>
  <c r="T174" i="5"/>
  <c r="T504" i="5"/>
  <c r="U504" i="5"/>
  <c r="U399" i="5"/>
  <c r="T399" i="5"/>
  <c r="U201" i="5"/>
  <c r="T201" i="5"/>
  <c r="U113" i="5"/>
  <c r="T113" i="5"/>
  <c r="T548" i="5"/>
  <c r="U548" i="5"/>
  <c r="U120" i="5"/>
  <c r="T120" i="5"/>
  <c r="U531" i="5"/>
  <c r="T531" i="5"/>
  <c r="U413" i="5"/>
  <c r="T413" i="5"/>
  <c r="U354" i="5"/>
  <c r="T354" i="5"/>
  <c r="U161" i="5"/>
  <c r="T161" i="5"/>
  <c r="T75" i="5"/>
  <c r="U75" i="5"/>
  <c r="U415" i="5"/>
  <c r="T415" i="5"/>
  <c r="T485" i="5"/>
  <c r="U485" i="5"/>
  <c r="U328" i="5"/>
  <c r="T328" i="5"/>
  <c r="T104" i="5"/>
  <c r="U104" i="5"/>
  <c r="U398" i="5"/>
  <c r="T398" i="5"/>
  <c r="U94" i="5"/>
  <c r="T94" i="5"/>
  <c r="U205" i="5"/>
  <c r="T205" i="5"/>
  <c r="T278" i="5"/>
  <c r="U278" i="5"/>
  <c r="U409" i="5"/>
  <c r="T409" i="5"/>
  <c r="U517" i="5"/>
  <c r="T517" i="5"/>
  <c r="U308" i="5"/>
  <c r="T308" i="5"/>
  <c r="T56" i="5"/>
  <c r="U56" i="5"/>
  <c r="T179" i="5"/>
  <c r="U179" i="5"/>
  <c r="U317" i="5"/>
  <c r="T317" i="5"/>
  <c r="U405" i="5"/>
  <c r="T405" i="5"/>
  <c r="T541" i="5"/>
  <c r="U541" i="5"/>
  <c r="U80" i="5"/>
  <c r="T80" i="5"/>
  <c r="U160" i="5"/>
  <c r="T160" i="5"/>
  <c r="U333" i="5"/>
  <c r="T333" i="5"/>
  <c r="U65" i="5"/>
  <c r="T65" i="5"/>
  <c r="T42" i="5"/>
  <c r="U42" i="5"/>
  <c r="T133" i="5"/>
  <c r="U133" i="5"/>
  <c r="U261" i="5"/>
  <c r="T261" i="5"/>
  <c r="U341" i="5"/>
  <c r="T341" i="5"/>
  <c r="U525" i="5"/>
  <c r="T525" i="5"/>
  <c r="U63" i="5"/>
  <c r="T63" i="5"/>
  <c r="U269" i="5"/>
  <c r="T269" i="5"/>
  <c r="U420" i="5"/>
  <c r="T420" i="5"/>
  <c r="T526" i="5"/>
  <c r="U526" i="5"/>
  <c r="U246" i="5"/>
  <c r="T246" i="5"/>
  <c r="T57" i="5"/>
  <c r="U57" i="5"/>
  <c r="T319" i="5"/>
  <c r="U319" i="5"/>
  <c r="U393" i="5"/>
  <c r="T393" i="5"/>
  <c r="T203" i="5"/>
  <c r="U203" i="5"/>
  <c r="U78" i="5"/>
  <c r="T78" i="5"/>
  <c r="U339" i="5"/>
  <c r="T339" i="5"/>
  <c r="U411" i="5"/>
  <c r="T411" i="5"/>
  <c r="U190" i="5"/>
  <c r="T190" i="5"/>
  <c r="T450" i="5"/>
  <c r="U450" i="5"/>
  <c r="U425" i="5"/>
  <c r="T425" i="5"/>
  <c r="U49" i="5"/>
  <c r="T49" i="5"/>
  <c r="U291" i="5"/>
  <c r="T291" i="5"/>
  <c r="U214" i="5"/>
  <c r="T214" i="5"/>
  <c r="U247" i="5"/>
  <c r="T247" i="5"/>
  <c r="U27" i="5"/>
  <c r="T27" i="5"/>
  <c r="T330" i="5"/>
  <c r="U330" i="5"/>
  <c r="T284" i="5"/>
  <c r="U284" i="5"/>
  <c r="U77" i="5"/>
  <c r="T77" i="5"/>
  <c r="U532" i="5"/>
  <c r="T532" i="5"/>
  <c r="U430" i="5"/>
  <c r="T430" i="5"/>
  <c r="T64" i="5"/>
  <c r="U64" i="5"/>
  <c r="T302" i="5"/>
  <c r="U302" i="5"/>
  <c r="U461" i="5"/>
  <c r="T461" i="5"/>
  <c r="U499" i="5"/>
  <c r="T499" i="5"/>
  <c r="T455" i="5"/>
  <c r="U455" i="5"/>
  <c r="U419" i="5"/>
  <c r="T419" i="5"/>
  <c r="T481" i="5"/>
  <c r="U481" i="5"/>
  <c r="U338" i="5"/>
  <c r="T338" i="5"/>
  <c r="U200" i="5"/>
  <c r="T200" i="5"/>
  <c r="U82" i="5"/>
  <c r="T82" i="5"/>
  <c r="U257" i="5"/>
  <c r="T257" i="5"/>
  <c r="U543" i="5"/>
  <c r="T543" i="5"/>
  <c r="T407" i="5"/>
  <c r="U407" i="5"/>
  <c r="T310" i="5"/>
  <c r="U310" i="5"/>
  <c r="U206" i="5"/>
  <c r="T206" i="5"/>
  <c r="U88" i="5"/>
  <c r="T88" i="5"/>
  <c r="T51" i="5"/>
  <c r="U51" i="5"/>
  <c r="U488" i="5"/>
  <c r="T488" i="5"/>
  <c r="U383" i="5"/>
  <c r="T383" i="5"/>
  <c r="U301" i="5"/>
  <c r="T301" i="5"/>
  <c r="U112" i="5"/>
  <c r="T112" i="5"/>
  <c r="U471" i="5"/>
  <c r="T471" i="5"/>
  <c r="U371" i="5"/>
  <c r="T371" i="5"/>
  <c r="U198" i="5"/>
  <c r="T198" i="5"/>
  <c r="U83" i="5"/>
  <c r="T83" i="5"/>
  <c r="T522" i="5"/>
  <c r="U522" i="5"/>
  <c r="U141" i="5"/>
  <c r="T141" i="5"/>
  <c r="U513" i="5"/>
  <c r="T513" i="5"/>
  <c r="U401" i="5"/>
  <c r="T401" i="5"/>
  <c r="U297" i="5"/>
  <c r="T297" i="5"/>
  <c r="T128" i="5"/>
  <c r="U128" i="5"/>
  <c r="U74" i="5"/>
  <c r="T74" i="5"/>
  <c r="T244" i="5"/>
  <c r="U244" i="5"/>
  <c r="U460" i="5"/>
  <c r="T460" i="5"/>
  <c r="U227" i="5"/>
  <c r="T227" i="5"/>
  <c r="T124" i="5"/>
  <c r="U124" i="5"/>
  <c r="U493" i="5"/>
  <c r="T493" i="5"/>
  <c r="U126" i="5"/>
  <c r="T126" i="5"/>
  <c r="U209" i="5"/>
  <c r="T209" i="5"/>
  <c r="T280" i="5"/>
  <c r="U280" i="5"/>
  <c r="U417" i="5"/>
  <c r="T417" i="5"/>
  <c r="T523" i="5"/>
  <c r="U523" i="5"/>
  <c r="T367" i="5"/>
  <c r="U367" i="5"/>
  <c r="T66" i="5"/>
  <c r="U66" i="5"/>
  <c r="U192" i="5"/>
  <c r="T192" i="5"/>
  <c r="U320" i="5"/>
  <c r="T320" i="5"/>
  <c r="T408" i="5"/>
  <c r="U408" i="5"/>
  <c r="T544" i="5"/>
  <c r="U544" i="5"/>
  <c r="T101" i="5"/>
  <c r="U101" i="5"/>
  <c r="T191" i="5"/>
  <c r="U191" i="5"/>
  <c r="T378" i="5"/>
  <c r="U378" i="5"/>
  <c r="T95" i="5"/>
  <c r="U95" i="5"/>
  <c r="U44" i="5"/>
  <c r="T44" i="5"/>
  <c r="U168" i="5"/>
  <c r="T168" i="5"/>
  <c r="U262" i="5"/>
  <c r="T262" i="5"/>
  <c r="U358" i="5"/>
  <c r="T358" i="5"/>
  <c r="T546" i="5"/>
  <c r="U546" i="5"/>
  <c r="T71" i="5"/>
  <c r="U71" i="5"/>
  <c r="U277" i="5"/>
  <c r="T277" i="5"/>
  <c r="T441" i="5"/>
  <c r="U441" i="5"/>
  <c r="U528" i="5"/>
  <c r="T528" i="5"/>
  <c r="U312" i="5"/>
  <c r="T312" i="5"/>
  <c r="T87" i="5"/>
  <c r="U87" i="5"/>
  <c r="T451" i="5"/>
  <c r="U451" i="5"/>
  <c r="T323" i="5"/>
  <c r="U323" i="5"/>
  <c r="U480" i="5"/>
  <c r="T480" i="5"/>
  <c r="U178" i="5"/>
  <c r="T178" i="5"/>
  <c r="T335" i="5"/>
  <c r="U335" i="5"/>
  <c r="U67" i="5"/>
  <c r="T67" i="5"/>
  <c r="T529" i="5"/>
  <c r="U529" i="5"/>
  <c r="T22" i="5"/>
  <c r="U22" i="5"/>
  <c r="T173" i="5"/>
  <c r="U173" i="5"/>
  <c r="U442" i="5"/>
  <c r="T442" i="5"/>
  <c r="U538" i="5"/>
  <c r="T538" i="5"/>
  <c r="T207" i="5"/>
  <c r="U207" i="5"/>
  <c r="U557" i="5"/>
  <c r="T557" i="5"/>
  <c r="U180" i="5"/>
  <c r="T180" i="5"/>
  <c r="U116" i="5"/>
  <c r="T116" i="5"/>
  <c r="U23" i="5"/>
  <c r="T23" i="5"/>
  <c r="T467" i="5"/>
  <c r="U467" i="5"/>
  <c r="U25" i="5"/>
  <c r="T25" i="5"/>
  <c r="T181" i="5"/>
  <c r="U181" i="5"/>
  <c r="T489" i="5"/>
  <c r="U489" i="5"/>
  <c r="T511" i="5"/>
  <c r="U511" i="5"/>
  <c r="U446" i="5"/>
  <c r="T446" i="5"/>
  <c r="T225" i="5"/>
  <c r="U225" i="5"/>
  <c r="U193" i="5"/>
  <c r="T193" i="5"/>
  <c r="U426" i="5"/>
  <c r="T426" i="5"/>
  <c r="U295" i="5"/>
  <c r="T295" i="5"/>
  <c r="U154" i="5"/>
  <c r="T154" i="5"/>
  <c r="U114" i="5"/>
  <c r="T114" i="5"/>
  <c r="U132" i="5"/>
  <c r="T132" i="5"/>
  <c r="U476" i="5"/>
  <c r="T476" i="5"/>
  <c r="U352" i="5"/>
  <c r="T352" i="5"/>
  <c r="U273" i="5"/>
  <c r="T273" i="5"/>
  <c r="U147" i="5"/>
  <c r="T147" i="5"/>
  <c r="U29" i="5"/>
  <c r="T29" i="5"/>
  <c r="T533" i="5"/>
  <c r="U533" i="5"/>
  <c r="T416" i="5"/>
  <c r="U416" i="5"/>
  <c r="U346" i="5"/>
  <c r="T346" i="5"/>
  <c r="U228" i="5"/>
  <c r="T228" i="5"/>
  <c r="U59" i="5"/>
  <c r="T59" i="5"/>
  <c r="U439" i="5"/>
  <c r="T439" i="5"/>
  <c r="T300" i="5"/>
  <c r="U300" i="5"/>
  <c r="U153" i="5"/>
  <c r="T153" i="5"/>
  <c r="T211" i="5"/>
  <c r="U211" i="5"/>
  <c r="T292" i="5"/>
  <c r="U292" i="5"/>
  <c r="T79" i="5"/>
  <c r="U79" i="5"/>
  <c r="T497" i="5"/>
  <c r="U497" i="5"/>
  <c r="U379" i="5"/>
  <c r="T379" i="5"/>
  <c r="U263" i="5"/>
  <c r="T263" i="5"/>
  <c r="U137" i="5"/>
  <c r="T137" i="5"/>
  <c r="U216" i="5"/>
  <c r="T216" i="5"/>
  <c r="T549" i="5"/>
  <c r="U549" i="5"/>
  <c r="U369" i="5"/>
  <c r="T369" i="5"/>
  <c r="T145" i="5"/>
  <c r="U145" i="5"/>
  <c r="U31" i="5"/>
  <c r="T31" i="5"/>
  <c r="U47" i="5"/>
  <c r="T47" i="5"/>
  <c r="U171" i="5"/>
  <c r="T171" i="5"/>
  <c r="U233" i="5"/>
  <c r="T233" i="5"/>
  <c r="T365" i="5"/>
  <c r="U365" i="5"/>
  <c r="U458" i="5"/>
  <c r="T458" i="5"/>
  <c r="T534" i="5"/>
  <c r="U534" i="5"/>
  <c r="U498" i="5"/>
  <c r="T498" i="5"/>
  <c r="U118" i="5"/>
  <c r="T118" i="5"/>
  <c r="T232" i="5"/>
  <c r="U232" i="5"/>
  <c r="U366" i="5"/>
  <c r="T366" i="5"/>
  <c r="T454" i="5"/>
  <c r="U454" i="5"/>
  <c r="U28" i="5"/>
  <c r="T28" i="5"/>
  <c r="T125" i="5"/>
  <c r="U125" i="5"/>
  <c r="U270" i="5"/>
  <c r="T270" i="5"/>
  <c r="T434" i="5"/>
  <c r="U434" i="5"/>
  <c r="U457" i="5"/>
  <c r="T457" i="5"/>
  <c r="U91" i="5"/>
  <c r="T91" i="5"/>
  <c r="U218" i="5"/>
  <c r="T218" i="5"/>
  <c r="U294" i="5"/>
  <c r="T294" i="5"/>
  <c r="U428" i="5"/>
  <c r="T428" i="5"/>
  <c r="T329" i="5"/>
  <c r="U329" i="5"/>
  <c r="T127" i="5"/>
  <c r="U127" i="5"/>
  <c r="T337" i="5"/>
  <c r="U337" i="5"/>
  <c r="T496" i="5"/>
  <c r="U496" i="5"/>
  <c r="U560" i="5"/>
  <c r="T560" i="5"/>
  <c r="U479" i="5"/>
  <c r="T479" i="5"/>
  <c r="U152" i="5"/>
  <c r="T152" i="5"/>
  <c r="U342" i="5"/>
  <c r="T342" i="5"/>
  <c r="U395" i="5"/>
  <c r="T395" i="5"/>
  <c r="U279" i="5"/>
  <c r="T279" i="5"/>
  <c r="U90" i="5"/>
  <c r="T90" i="5"/>
  <c r="U134" i="5"/>
  <c r="T134" i="5"/>
  <c r="U550" i="5"/>
  <c r="T550" i="5"/>
  <c r="T85" i="5"/>
  <c r="U85" i="5"/>
  <c r="U221" i="5"/>
  <c r="T221" i="5"/>
  <c r="U361" i="5"/>
  <c r="T361" i="5"/>
  <c r="U375" i="5"/>
  <c r="T375" i="5"/>
  <c r="T443" i="5"/>
  <c r="U443" i="5"/>
  <c r="U385" i="5"/>
  <c r="T385" i="5"/>
  <c r="T351" i="5"/>
  <c r="U351" i="5"/>
  <c r="T264" i="5"/>
  <c r="U264" i="5"/>
  <c r="U377" i="5"/>
  <c r="T377" i="5"/>
  <c r="U217" i="5"/>
  <c r="T217" i="5"/>
  <c r="T343" i="5"/>
  <c r="U343" i="5"/>
  <c r="U349" i="5"/>
  <c r="T349" i="5"/>
  <c r="T406" i="5"/>
  <c r="U406" i="5"/>
  <c r="U111" i="5"/>
  <c r="T111" i="5"/>
  <c r="U258" i="5"/>
  <c r="T258" i="5"/>
  <c r="U194" i="5"/>
  <c r="T194" i="5"/>
  <c r="U306" i="5"/>
  <c r="T306" i="5"/>
  <c r="T293" i="5"/>
  <c r="U293" i="5"/>
  <c r="T32" i="5"/>
  <c r="U32" i="5"/>
  <c r="U182" i="5"/>
  <c r="T182" i="5"/>
  <c r="U388" i="5"/>
  <c r="T388" i="5"/>
  <c r="U282" i="5"/>
  <c r="T282" i="5"/>
  <c r="U162" i="5"/>
  <c r="T162" i="5"/>
  <c r="U53" i="5"/>
  <c r="T53" i="5"/>
  <c r="U105" i="5"/>
  <c r="T105" i="5"/>
  <c r="T484" i="5"/>
  <c r="U484" i="5"/>
  <c r="T331" i="5"/>
  <c r="U331" i="5"/>
  <c r="U255" i="5"/>
  <c r="T255" i="5"/>
  <c r="T170" i="5"/>
  <c r="U170" i="5"/>
  <c r="T396" i="5"/>
  <c r="U396" i="5"/>
  <c r="U524" i="5"/>
  <c r="T524" i="5"/>
  <c r="U423" i="5"/>
  <c r="T423" i="5"/>
  <c r="U334" i="5"/>
  <c r="T334" i="5"/>
  <c r="T240" i="5"/>
  <c r="U240" i="5"/>
  <c r="U76" i="5"/>
  <c r="T76" i="5"/>
  <c r="T435" i="5"/>
  <c r="U435" i="5"/>
  <c r="U289" i="5"/>
  <c r="T289" i="5"/>
  <c r="T186" i="5"/>
  <c r="U186" i="5"/>
  <c r="U151" i="5"/>
  <c r="T151" i="5"/>
  <c r="T256" i="5"/>
  <c r="U256" i="5"/>
  <c r="U551" i="5"/>
  <c r="T551" i="5"/>
  <c r="T477" i="5"/>
  <c r="U477" i="5"/>
  <c r="T374" i="5"/>
  <c r="U374" i="5"/>
  <c r="T231" i="5"/>
  <c r="U231" i="5"/>
  <c r="T121" i="5"/>
  <c r="U121" i="5"/>
  <c r="T61" i="5"/>
  <c r="U61" i="5"/>
  <c r="U519" i="5"/>
  <c r="T519" i="5"/>
  <c r="U364" i="5"/>
  <c r="T364" i="5"/>
  <c r="T166" i="5"/>
  <c r="U166" i="5"/>
  <c r="U70" i="5"/>
  <c r="T70" i="5"/>
  <c r="T81" i="5"/>
  <c r="U81" i="5"/>
  <c r="T175" i="5"/>
  <c r="U175" i="5"/>
  <c r="U237" i="5"/>
  <c r="T237" i="5"/>
  <c r="U368" i="5"/>
  <c r="T368" i="5"/>
  <c r="U463" i="5"/>
  <c r="T463" i="5"/>
  <c r="U36" i="5"/>
  <c r="T36" i="5"/>
  <c r="U30" i="5"/>
  <c r="T30" i="5"/>
  <c r="T143" i="5"/>
  <c r="U143" i="5"/>
  <c r="U235" i="5"/>
  <c r="T235" i="5"/>
  <c r="U390" i="5"/>
  <c r="T390" i="5"/>
  <c r="T466" i="5"/>
  <c r="U466" i="5"/>
  <c r="U46" i="5"/>
  <c r="T46" i="5"/>
  <c r="T142" i="5"/>
  <c r="U142" i="5"/>
  <c r="T275" i="5"/>
  <c r="U275" i="5"/>
  <c r="U437" i="5"/>
  <c r="T437" i="5"/>
  <c r="U482" i="5"/>
  <c r="T482" i="5"/>
  <c r="U98" i="5"/>
  <c r="T98" i="5"/>
  <c r="U249" i="5"/>
  <c r="T249" i="5"/>
  <c r="U309" i="5"/>
  <c r="T309" i="5"/>
  <c r="U445" i="5"/>
  <c r="T445" i="5"/>
  <c r="T26" i="5"/>
  <c r="U26" i="5"/>
  <c r="U135" i="5"/>
  <c r="T135" i="5"/>
  <c r="U350" i="5"/>
  <c r="T350" i="5"/>
  <c r="T500" i="5"/>
  <c r="U500" i="5"/>
  <c r="T19" i="5"/>
  <c r="U19" i="5"/>
  <c r="T547" i="5"/>
  <c r="U547" i="5"/>
  <c r="U164" i="5"/>
  <c r="T164" i="5"/>
  <c r="U73" i="5"/>
  <c r="T392" i="5"/>
  <c r="U392" i="5"/>
  <c r="U421" i="5"/>
  <c r="T421" i="5"/>
  <c r="T195" i="5"/>
  <c r="U195" i="5"/>
  <c r="U138" i="5"/>
  <c r="T138" i="5"/>
  <c r="U469" i="5"/>
  <c r="T469" i="5"/>
  <c r="T92" i="5"/>
  <c r="U92" i="5"/>
  <c r="U204" i="5"/>
  <c r="T204" i="5"/>
  <c r="T224" i="5"/>
  <c r="U224" i="5"/>
  <c r="U197" i="5"/>
  <c r="T197" i="5"/>
  <c r="U394" i="5"/>
  <c r="T394" i="5"/>
  <c r="U106" i="5"/>
  <c r="T106" i="5"/>
  <c r="U344" i="5"/>
  <c r="U251" i="5"/>
  <c r="T251" i="5"/>
  <c r="T495" i="5"/>
  <c r="U495" i="5"/>
  <c r="U440" i="5"/>
  <c r="T440" i="5"/>
  <c r="U459" i="5"/>
  <c r="T459" i="5"/>
  <c r="T507" i="5"/>
  <c r="U507" i="5"/>
  <c r="T380" i="5"/>
  <c r="U380" i="5"/>
  <c r="T456" i="5"/>
  <c r="U456" i="5"/>
  <c r="T117" i="5"/>
  <c r="U117" i="5"/>
  <c r="U288" i="5"/>
  <c r="T288" i="5"/>
  <c r="T556" i="5"/>
  <c r="U556" i="5"/>
  <c r="U475" i="5"/>
  <c r="T475" i="5"/>
  <c r="T357" i="5"/>
  <c r="U357" i="5"/>
  <c r="U391" i="5"/>
  <c r="T391" i="5"/>
  <c r="U45" i="5"/>
  <c r="T45" i="5"/>
  <c r="U558" i="5"/>
  <c r="T558" i="5"/>
  <c r="U402" i="5"/>
  <c r="T402" i="5"/>
  <c r="T287" i="5"/>
  <c r="U287" i="5"/>
  <c r="T167" i="5"/>
  <c r="U167" i="5"/>
  <c r="U510" i="5"/>
  <c r="T510" i="5"/>
  <c r="T109" i="5"/>
  <c r="U109" i="5"/>
  <c r="U490" i="5"/>
  <c r="T490" i="5"/>
  <c r="T311" i="5"/>
  <c r="U311" i="5"/>
  <c r="U253" i="5"/>
  <c r="T253" i="5"/>
  <c r="T158" i="5"/>
  <c r="U158" i="5"/>
  <c r="U215" i="5"/>
  <c r="T215" i="5"/>
  <c r="U514" i="5"/>
  <c r="T514" i="5"/>
  <c r="U447" i="5"/>
  <c r="T447" i="5"/>
  <c r="U303" i="5"/>
  <c r="T303" i="5"/>
  <c r="T183" i="5"/>
  <c r="U183" i="5"/>
  <c r="U537" i="5"/>
  <c r="T537" i="5"/>
  <c r="U431" i="5"/>
  <c r="T431" i="5"/>
  <c r="T259" i="5"/>
  <c r="U259" i="5"/>
  <c r="U130" i="5"/>
  <c r="T130" i="5"/>
  <c r="T24" i="5"/>
  <c r="U24" i="5"/>
  <c r="T220" i="5"/>
  <c r="U220" i="5"/>
  <c r="T554" i="5"/>
  <c r="U554" i="5"/>
  <c r="U438" i="5"/>
  <c r="T438" i="5"/>
  <c r="U314" i="5"/>
  <c r="T314" i="5"/>
  <c r="U188" i="5"/>
  <c r="T188" i="5"/>
  <c r="T43" i="5"/>
  <c r="U43" i="5"/>
  <c r="U21" i="5"/>
  <c r="T21" i="5"/>
  <c r="U492" i="5"/>
  <c r="T492" i="5"/>
  <c r="U281" i="5"/>
  <c r="T281" i="5"/>
  <c r="U146" i="5"/>
  <c r="T146" i="5"/>
  <c r="T119" i="5"/>
  <c r="U119" i="5"/>
  <c r="T86" i="5"/>
  <c r="U86" i="5"/>
  <c r="U184" i="5"/>
  <c r="T184" i="5"/>
  <c r="U260" i="5"/>
  <c r="T260" i="5"/>
  <c r="U382" i="5"/>
  <c r="T382" i="5"/>
  <c r="U486" i="5"/>
  <c r="T486" i="5"/>
  <c r="U84" i="5"/>
  <c r="T84" i="5"/>
  <c r="U33" i="5"/>
  <c r="T33" i="5"/>
  <c r="T159" i="5"/>
  <c r="U159" i="5"/>
  <c r="U243" i="5"/>
  <c r="T243" i="5"/>
  <c r="U400" i="5"/>
  <c r="T400" i="5"/>
  <c r="U512" i="5"/>
  <c r="T512" i="5"/>
  <c r="U55" i="5"/>
  <c r="T55" i="5"/>
  <c r="U144" i="5"/>
  <c r="T144" i="5"/>
  <c r="U299" i="5"/>
  <c r="T299" i="5"/>
  <c r="U503" i="5"/>
  <c r="T503" i="5"/>
  <c r="U552" i="5"/>
  <c r="T552" i="5"/>
  <c r="U108" i="5"/>
  <c r="T108" i="5"/>
  <c r="T252" i="5"/>
  <c r="U252" i="5"/>
  <c r="U325" i="5"/>
  <c r="T325" i="5"/>
  <c r="T468" i="5"/>
  <c r="U468" i="5"/>
  <c r="U39" i="5"/>
  <c r="T39" i="5"/>
  <c r="U149" i="5"/>
  <c r="T149" i="5"/>
  <c r="T381" i="5"/>
  <c r="U381" i="5"/>
  <c r="T509" i="5"/>
  <c r="U509" i="5"/>
  <c r="T34" i="5"/>
  <c r="U34" i="5"/>
  <c r="T50" i="5"/>
  <c r="U50" i="5"/>
  <c r="U172" i="5"/>
  <c r="T172" i="5"/>
  <c r="U559" i="5"/>
  <c r="T559" i="5"/>
  <c r="T96" i="5"/>
  <c r="U96" i="5"/>
  <c r="U223" i="5"/>
  <c r="T223" i="5"/>
  <c r="U122" i="5"/>
  <c r="T122" i="5"/>
  <c r="T521" i="5"/>
  <c r="U521" i="5"/>
  <c r="U410" i="5"/>
  <c r="T410" i="5"/>
  <c r="T327" i="5"/>
  <c r="U327" i="5"/>
  <c r="U321" i="5"/>
  <c r="T321" i="5"/>
  <c r="U250" i="5"/>
  <c r="T250" i="5"/>
  <c r="U60" i="5"/>
  <c r="T60" i="5"/>
  <c r="T89" i="5"/>
  <c r="U89" i="5"/>
  <c r="U318" i="5"/>
  <c r="T318" i="5"/>
  <c r="T359" i="5"/>
  <c r="U359" i="5"/>
  <c r="U283" i="5"/>
  <c r="T283" i="5"/>
  <c r="T429" i="5"/>
  <c r="U429" i="5"/>
  <c r="T234" i="5"/>
  <c r="U234" i="5"/>
  <c r="U165" i="5"/>
  <c r="T165" i="5"/>
  <c r="T102" i="5"/>
  <c r="U102" i="5"/>
  <c r="T268" i="5"/>
  <c r="U268" i="5"/>
  <c r="U376" i="5"/>
  <c r="T376" i="5"/>
  <c r="U462" i="5"/>
  <c r="T462" i="5"/>
  <c r="U370" i="5"/>
  <c r="T370" i="5"/>
  <c r="U304" i="5"/>
  <c r="T304" i="5"/>
  <c r="U465" i="5"/>
  <c r="T465" i="5"/>
  <c r="U472" i="5"/>
  <c r="T472" i="5"/>
  <c r="T539" i="5"/>
  <c r="U539" i="5"/>
  <c r="U362" i="5"/>
  <c r="T362" i="5"/>
  <c r="U239" i="5"/>
  <c r="T239" i="5"/>
  <c r="U110" i="5"/>
  <c r="T110" i="5"/>
  <c r="U444" i="5"/>
  <c r="T444" i="5"/>
  <c r="U99" i="5"/>
  <c r="T99" i="5"/>
  <c r="U453" i="5"/>
  <c r="T453" i="5"/>
  <c r="T315" i="5"/>
  <c r="U315" i="5"/>
  <c r="U271" i="5"/>
  <c r="T271" i="5"/>
  <c r="U136" i="5"/>
  <c r="T136" i="5"/>
  <c r="U185" i="5"/>
  <c r="T185" i="5"/>
  <c r="T516" i="5"/>
  <c r="U516" i="5"/>
  <c r="U424" i="5"/>
  <c r="T424" i="5"/>
  <c r="T355" i="5"/>
  <c r="U355" i="5"/>
  <c r="T156" i="5"/>
  <c r="U156" i="5"/>
  <c r="T518" i="5"/>
  <c r="U518" i="5"/>
  <c r="T412" i="5"/>
  <c r="U412" i="5"/>
  <c r="U222" i="5"/>
  <c r="T222" i="5"/>
  <c r="T140" i="5"/>
  <c r="U140" i="5"/>
  <c r="U37" i="5"/>
  <c r="T37" i="5"/>
  <c r="T155" i="5"/>
  <c r="U155" i="5"/>
  <c r="U542" i="5"/>
  <c r="T542" i="5"/>
  <c r="U464" i="5"/>
  <c r="T464" i="5"/>
  <c r="U326" i="5"/>
  <c r="T326" i="5"/>
  <c r="T177" i="5"/>
  <c r="U177" i="5"/>
  <c r="T40" i="5"/>
  <c r="U40" i="5"/>
  <c r="U470" i="5"/>
  <c r="T470" i="5"/>
  <c r="T474" i="5"/>
  <c r="U474" i="5"/>
  <c r="T267" i="5"/>
  <c r="U267" i="5"/>
  <c r="T129" i="5"/>
  <c r="U129" i="5"/>
  <c r="U248" i="5"/>
  <c r="T248" i="5"/>
  <c r="T93" i="5"/>
  <c r="U93" i="5"/>
  <c r="U196" i="5"/>
  <c r="T196" i="5"/>
  <c r="U272" i="5"/>
  <c r="T272" i="5"/>
  <c r="U404" i="5"/>
  <c r="T404" i="5"/>
  <c r="T487" i="5"/>
  <c r="U487" i="5"/>
  <c r="T265" i="5"/>
  <c r="U265" i="5"/>
  <c r="U41" i="5"/>
  <c r="T41" i="5"/>
  <c r="U163" i="5"/>
  <c r="T163" i="5"/>
  <c r="U296" i="5"/>
  <c r="T296" i="5"/>
  <c r="T403" i="5"/>
  <c r="U403" i="5"/>
  <c r="U527" i="5"/>
  <c r="T527" i="5"/>
  <c r="U68" i="5"/>
  <c r="T68" i="5"/>
  <c r="T148" i="5"/>
  <c r="U148" i="5"/>
  <c r="U316" i="5"/>
  <c r="T316" i="5"/>
  <c r="T540" i="5"/>
  <c r="U540" i="5"/>
  <c r="U20" i="5"/>
  <c r="T20" i="5"/>
  <c r="U131" i="5"/>
  <c r="T131" i="5"/>
  <c r="U254" i="5"/>
  <c r="T254" i="5"/>
  <c r="T336" i="5"/>
  <c r="U336" i="5"/>
  <c r="U520" i="5"/>
  <c r="T520" i="5"/>
  <c r="U54" i="5"/>
  <c r="T54" i="5"/>
  <c r="U208" i="5"/>
  <c r="T208" i="5"/>
  <c r="U414" i="5"/>
  <c r="T414" i="5"/>
  <c r="T515" i="5"/>
  <c r="U515" i="5"/>
  <c r="T58" i="5"/>
  <c r="U58" i="5"/>
  <c r="T52" i="5"/>
  <c r="U52" i="5"/>
  <c r="U230" i="5"/>
  <c r="T230" i="5"/>
  <c r="U313" i="5"/>
  <c r="T313" i="5"/>
  <c r="T389" i="5"/>
  <c r="U389" i="5"/>
  <c r="U555" i="5"/>
  <c r="T555" i="5"/>
  <c r="U123" i="5"/>
  <c r="T123" i="5"/>
  <c r="B130" i="3"/>
  <c r="B150" i="3"/>
  <c r="U7" i="5"/>
  <c r="T7" i="5"/>
  <c r="B161" i="3"/>
  <c r="I63" i="2" s="1"/>
  <c r="B43" i="5"/>
  <c r="S10" i="5"/>
  <c r="T12" i="5"/>
  <c r="U12" i="5"/>
  <c r="T13" i="5"/>
  <c r="U13" i="5"/>
  <c r="U8" i="5"/>
  <c r="T8" i="5"/>
  <c r="B10" i="5"/>
  <c r="B9" i="5"/>
  <c r="B11" i="5"/>
  <c r="E49" i="3"/>
  <c r="E47" i="3"/>
  <c r="J46" i="5"/>
  <c r="B17" i="5"/>
  <c r="B107" i="3"/>
  <c r="B105" i="3"/>
  <c r="B103" i="3"/>
  <c r="B128" i="3" s="1"/>
  <c r="B100" i="3"/>
  <c r="I52" i="2" s="1"/>
  <c r="B99" i="3"/>
  <c r="B5" i="4"/>
  <c r="E9" i="3"/>
  <c r="I8" i="4"/>
  <c r="I12" i="4"/>
  <c r="I16" i="4"/>
  <c r="I20" i="4"/>
  <c r="I24" i="4"/>
  <c r="I28" i="4"/>
  <c r="I32" i="4"/>
  <c r="I36" i="4"/>
  <c r="I40" i="4"/>
  <c r="I44" i="4"/>
  <c r="I48" i="4"/>
  <c r="I52" i="4"/>
  <c r="I56" i="4"/>
  <c r="I60" i="4"/>
  <c r="I64" i="4"/>
  <c r="I68" i="4"/>
  <c r="I72" i="4"/>
  <c r="I76" i="4"/>
  <c r="I80" i="4"/>
  <c r="I84" i="4"/>
  <c r="I88" i="4"/>
  <c r="I92" i="4"/>
  <c r="I96" i="4"/>
  <c r="I100" i="4"/>
  <c r="I104" i="4"/>
  <c r="I26" i="4"/>
  <c r="I11" i="4"/>
  <c r="I38" i="4"/>
  <c r="I65" i="4"/>
  <c r="I10" i="4"/>
  <c r="I58" i="4"/>
  <c r="I90" i="4"/>
  <c r="I27" i="4"/>
  <c r="I54" i="4"/>
  <c r="I22" i="4"/>
  <c r="I49" i="4"/>
  <c r="I70" i="4"/>
  <c r="I7" i="4"/>
  <c r="I13" i="4"/>
  <c r="I18" i="4"/>
  <c r="I23" i="4"/>
  <c r="I29" i="4"/>
  <c r="I34" i="4"/>
  <c r="I39" i="4"/>
  <c r="I45" i="4"/>
  <c r="I50" i="4"/>
  <c r="I55" i="4"/>
  <c r="I61" i="4"/>
  <c r="I66" i="4"/>
  <c r="I71" i="4"/>
  <c r="I77" i="4"/>
  <c r="I82" i="4"/>
  <c r="I87" i="4"/>
  <c r="I93" i="4"/>
  <c r="I98" i="4"/>
  <c r="I103" i="4"/>
  <c r="I9" i="4"/>
  <c r="I14" i="4"/>
  <c r="I19" i="4"/>
  <c r="I25" i="4"/>
  <c r="I30" i="4"/>
  <c r="I35" i="4"/>
  <c r="I41" i="4"/>
  <c r="I46" i="4"/>
  <c r="I51" i="4"/>
  <c r="I57" i="4"/>
  <c r="I62" i="4"/>
  <c r="I67" i="4"/>
  <c r="I73" i="4"/>
  <c r="I78" i="4"/>
  <c r="I83" i="4"/>
  <c r="I89" i="4"/>
  <c r="I94" i="4"/>
  <c r="I99" i="4"/>
  <c r="I4" i="4"/>
  <c r="I5" i="4"/>
  <c r="I15" i="4"/>
  <c r="I21" i="4"/>
  <c r="I31" i="4"/>
  <c r="I37" i="4"/>
  <c r="I42" i="4"/>
  <c r="I47" i="4"/>
  <c r="I53" i="4"/>
  <c r="I63" i="4"/>
  <c r="I69" i="4"/>
  <c r="I74" i="4"/>
  <c r="I79" i="4"/>
  <c r="I85" i="4"/>
  <c r="I95" i="4"/>
  <c r="I101" i="4"/>
  <c r="I6" i="4"/>
  <c r="I17" i="4"/>
  <c r="I33" i="4"/>
  <c r="I43" i="4"/>
  <c r="I59" i="4"/>
  <c r="I91" i="4"/>
  <c r="I97" i="4"/>
  <c r="I102" i="4"/>
  <c r="I75" i="4"/>
  <c r="I81" i="4"/>
  <c r="I86" i="4"/>
  <c r="B8" i="4"/>
  <c r="B6" i="4"/>
  <c r="B4" i="4"/>
  <c r="B27" i="3"/>
  <c r="I22" i="2" s="1"/>
  <c r="E6" i="3"/>
  <c r="B34" i="3"/>
  <c r="B35" i="3" s="1"/>
  <c r="B36" i="3" s="1"/>
  <c r="E14" i="3"/>
  <c r="E3" i="3"/>
  <c r="E5" i="3"/>
  <c r="E4" i="3"/>
  <c r="B31" i="3"/>
  <c r="B32" i="3" s="1"/>
  <c r="B33" i="3" s="1"/>
  <c r="B12" i="3"/>
  <c r="B24" i="3"/>
  <c r="I20" i="2" s="1"/>
  <c r="B26" i="3"/>
  <c r="I21" i="2" s="1"/>
  <c r="T56" i="8" l="1"/>
  <c r="V56" i="8" s="1"/>
  <c r="AM56" i="8" s="1"/>
  <c r="U356" i="5"/>
  <c r="AZ10" i="5"/>
  <c r="T189" i="5"/>
  <c r="T229" i="5"/>
  <c r="T127" i="8"/>
  <c r="V127" i="8" s="1"/>
  <c r="AM127" i="8" s="1"/>
  <c r="U62" i="5"/>
  <c r="T151" i="8"/>
  <c r="V151" i="8" s="1"/>
  <c r="AM151" i="8" s="1"/>
  <c r="T107" i="8"/>
  <c r="V107" i="8" s="1"/>
  <c r="AM107" i="8" s="1"/>
  <c r="T135" i="8"/>
  <c r="V135" i="8" s="1"/>
  <c r="AM135" i="8" s="1"/>
  <c r="T80" i="8"/>
  <c r="V80" i="8" s="1"/>
  <c r="AM80" i="8" s="1"/>
  <c r="T112" i="8"/>
  <c r="V112" i="8" s="1"/>
  <c r="AM112" i="8" s="1"/>
  <c r="BB10" i="5"/>
  <c r="T120" i="8"/>
  <c r="V120" i="8" s="1"/>
  <c r="AM120" i="8" s="1"/>
  <c r="T79" i="8"/>
  <c r="V79" i="8" s="1"/>
  <c r="AM79" i="8" s="1"/>
  <c r="T18" i="8"/>
  <c r="V18" i="8" s="1"/>
  <c r="AM18" i="8" s="1"/>
  <c r="U436" i="5"/>
  <c r="U427" i="5"/>
  <c r="T7" i="8"/>
  <c r="V7" i="8" s="1"/>
  <c r="AM7" i="8" s="1"/>
  <c r="T66" i="8"/>
  <c r="V66" i="8" s="1"/>
  <c r="AM66" i="8" s="1"/>
  <c r="T23" i="8"/>
  <c r="V23" i="8" s="1"/>
  <c r="AM23" i="8" s="1"/>
  <c r="T82" i="8"/>
  <c r="V82" i="8" s="1"/>
  <c r="AM82" i="8" s="1"/>
  <c r="T87" i="8"/>
  <c r="V87" i="8" s="1"/>
  <c r="AM87" i="8" s="1"/>
  <c r="T122" i="8"/>
  <c r="V122" i="8" s="1"/>
  <c r="AM122" i="8" s="1"/>
  <c r="T506" i="5"/>
  <c r="T31" i="8"/>
  <c r="V31" i="8" s="1"/>
  <c r="AM31" i="8" s="1"/>
  <c r="T11" i="8"/>
  <c r="V11" i="8" s="1"/>
  <c r="AM11" i="8" s="1"/>
  <c r="T103" i="8"/>
  <c r="V103" i="8" s="1"/>
  <c r="AM103" i="8" s="1"/>
  <c r="T39" i="8"/>
  <c r="V39" i="8" s="1"/>
  <c r="AM39" i="8" s="1"/>
  <c r="T8" i="8"/>
  <c r="V8" i="8" s="1"/>
  <c r="AM8" i="8" s="1"/>
  <c r="T136" i="8"/>
  <c r="V136" i="8" s="1"/>
  <c r="AM136" i="8" s="1"/>
  <c r="T130" i="8"/>
  <c r="V130" i="8" s="1"/>
  <c r="AM130" i="8" s="1"/>
  <c r="T55" i="8"/>
  <c r="V55" i="8" s="1"/>
  <c r="AM55" i="8" s="1"/>
  <c r="T71" i="8"/>
  <c r="V71" i="8" s="1"/>
  <c r="AM71" i="8" s="1"/>
  <c r="T16" i="8"/>
  <c r="V16" i="8" s="1"/>
  <c r="AM16" i="8" s="1"/>
  <c r="T65" i="8"/>
  <c r="V65" i="8" s="1"/>
  <c r="AM65" i="8" s="1"/>
  <c r="T146" i="8"/>
  <c r="V146" i="8" s="1"/>
  <c r="AM146" i="8" s="1"/>
  <c r="T63" i="8"/>
  <c r="V63" i="8" s="1"/>
  <c r="AM63" i="8" s="1"/>
  <c r="T15" i="8"/>
  <c r="V15" i="8" s="1"/>
  <c r="AM15" i="8" s="1"/>
  <c r="T48" i="8"/>
  <c r="V48" i="8" s="1"/>
  <c r="AM48" i="8" s="1"/>
  <c r="T145" i="8"/>
  <c r="V145" i="8" s="1"/>
  <c r="AM145" i="8" s="1"/>
  <c r="T137" i="8"/>
  <c r="V137" i="8" s="1"/>
  <c r="AM137" i="8" s="1"/>
  <c r="T47" i="8"/>
  <c r="V47" i="8" s="1"/>
  <c r="AM47" i="8" s="1"/>
  <c r="T95" i="8"/>
  <c r="V95" i="8" s="1"/>
  <c r="AM95" i="8" s="1"/>
  <c r="T72" i="8"/>
  <c r="V72" i="8" s="1"/>
  <c r="AM72" i="8" s="1"/>
  <c r="T58" i="8"/>
  <c r="V58" i="8" s="1"/>
  <c r="AM58" i="8" s="1"/>
  <c r="T99" i="8"/>
  <c r="V99" i="8" s="1"/>
  <c r="AM99" i="8" s="1"/>
  <c r="T143" i="8"/>
  <c r="V143" i="8" s="1"/>
  <c r="AM143" i="8" s="1"/>
  <c r="T64" i="8"/>
  <c r="V64" i="8" s="1"/>
  <c r="AM64" i="8" s="1"/>
  <c r="T128" i="8"/>
  <c r="V128" i="8" s="1"/>
  <c r="AM128" i="8" s="1"/>
  <c r="T10" i="8"/>
  <c r="V10" i="8" s="1"/>
  <c r="AM10" i="8" s="1"/>
  <c r="T74" i="8"/>
  <c r="V74" i="8" s="1"/>
  <c r="AM74" i="8" s="1"/>
  <c r="T138" i="8"/>
  <c r="V138" i="8" s="1"/>
  <c r="AM138" i="8" s="1"/>
  <c r="T19" i="8"/>
  <c r="V19" i="8" s="1"/>
  <c r="AM19" i="8" s="1"/>
  <c r="T147" i="8"/>
  <c r="V147" i="8" s="1"/>
  <c r="AM147" i="8" s="1"/>
  <c r="T27" i="8"/>
  <c r="V27" i="8" s="1"/>
  <c r="AM27" i="8" s="1"/>
  <c r="T155" i="8"/>
  <c r="V155" i="8" s="1"/>
  <c r="AM155" i="8" s="1"/>
  <c r="T144" i="8"/>
  <c r="V144" i="8" s="1"/>
  <c r="AM144" i="8" s="1"/>
  <c r="T26" i="8"/>
  <c r="V26" i="8" s="1"/>
  <c r="AM26" i="8" s="1"/>
  <c r="T90" i="8"/>
  <c r="V90" i="8" s="1"/>
  <c r="AM90" i="8" s="1"/>
  <c r="T154" i="8"/>
  <c r="V154" i="8" s="1"/>
  <c r="AM154" i="8" s="1"/>
  <c r="T35" i="8"/>
  <c r="V35" i="8" s="1"/>
  <c r="AM35" i="8" s="1"/>
  <c r="T33" i="8"/>
  <c r="V33" i="8" s="1"/>
  <c r="AM33" i="8" s="1"/>
  <c r="T24" i="8"/>
  <c r="V24" i="8" s="1"/>
  <c r="AM24" i="8" s="1"/>
  <c r="T88" i="8"/>
  <c r="V88" i="8" s="1"/>
  <c r="AM88" i="8" s="1"/>
  <c r="T152" i="8"/>
  <c r="V152" i="8" s="1"/>
  <c r="AM152" i="8" s="1"/>
  <c r="T34" i="8"/>
  <c r="V34" i="8" s="1"/>
  <c r="AM34" i="8" s="1"/>
  <c r="T98" i="8"/>
  <c r="V98" i="8" s="1"/>
  <c r="AM98" i="8" s="1"/>
  <c r="T17" i="8"/>
  <c r="V17" i="8" s="1"/>
  <c r="AM17" i="8" s="1"/>
  <c r="T43" i="8"/>
  <c r="V43" i="8" s="1"/>
  <c r="AM43" i="8" s="1"/>
  <c r="T73" i="8"/>
  <c r="V73" i="8" s="1"/>
  <c r="AM73" i="8" s="1"/>
  <c r="T111" i="8"/>
  <c r="V111" i="8" s="1"/>
  <c r="AM111" i="8" s="1"/>
  <c r="T32" i="8"/>
  <c r="V32" i="8" s="1"/>
  <c r="AM32" i="8" s="1"/>
  <c r="T96" i="8"/>
  <c r="V96" i="8" s="1"/>
  <c r="AM96" i="8" s="1"/>
  <c r="T153" i="8"/>
  <c r="V153" i="8" s="1"/>
  <c r="AM153" i="8" s="1"/>
  <c r="T42" i="8"/>
  <c r="V42" i="8" s="1"/>
  <c r="AM42" i="8" s="1"/>
  <c r="T106" i="8"/>
  <c r="V106" i="8" s="1"/>
  <c r="AM106" i="8" s="1"/>
  <c r="T57" i="8"/>
  <c r="V57" i="8" s="1"/>
  <c r="AM57" i="8" s="1"/>
  <c r="T83" i="8"/>
  <c r="V83" i="8" s="1"/>
  <c r="AM83" i="8" s="1"/>
  <c r="T44" i="8"/>
  <c r="V44" i="8" s="1"/>
  <c r="AM44" i="8" s="1"/>
  <c r="T119" i="8"/>
  <c r="V119" i="8" s="1"/>
  <c r="AM119" i="8" s="1"/>
  <c r="T40" i="8"/>
  <c r="V40" i="8" s="1"/>
  <c r="AM40" i="8" s="1"/>
  <c r="T104" i="8"/>
  <c r="V104" i="8" s="1"/>
  <c r="AM104" i="8" s="1"/>
  <c r="T9" i="8"/>
  <c r="V9" i="8" s="1"/>
  <c r="AM9" i="8" s="1"/>
  <c r="T50" i="8"/>
  <c r="V50" i="8" s="1"/>
  <c r="AM50" i="8" s="1"/>
  <c r="T114" i="8"/>
  <c r="V114" i="8" s="1"/>
  <c r="AM114" i="8" s="1"/>
  <c r="T97" i="8"/>
  <c r="V97" i="8" s="1"/>
  <c r="AM97" i="8" s="1"/>
  <c r="T91" i="8"/>
  <c r="V91" i="8" s="1"/>
  <c r="AM91" i="8" s="1"/>
  <c r="T52" i="8"/>
  <c r="V52" i="8" s="1"/>
  <c r="AM52" i="8" s="1"/>
  <c r="T36" i="8"/>
  <c r="V36" i="8" s="1"/>
  <c r="AM36" i="8" s="1"/>
  <c r="T100" i="8"/>
  <c r="V100" i="8" s="1"/>
  <c r="AM100" i="8" s="1"/>
  <c r="T108" i="8"/>
  <c r="V108" i="8" s="1"/>
  <c r="AM108" i="8" s="1"/>
  <c r="T116" i="8"/>
  <c r="V116" i="8" s="1"/>
  <c r="AM116" i="8" s="1"/>
  <c r="T41" i="8"/>
  <c r="V41" i="8" s="1"/>
  <c r="AM41" i="8" s="1"/>
  <c r="T81" i="8"/>
  <c r="V81" i="8" s="1"/>
  <c r="AM81" i="8" s="1"/>
  <c r="T89" i="8"/>
  <c r="V89" i="8" s="1"/>
  <c r="AM89" i="8" s="1"/>
  <c r="T105" i="8"/>
  <c r="V105" i="8" s="1"/>
  <c r="AM105" i="8" s="1"/>
  <c r="T53" i="8"/>
  <c r="V53" i="8" s="1"/>
  <c r="AM53" i="8" s="1"/>
  <c r="T61" i="8"/>
  <c r="V61" i="8" s="1"/>
  <c r="AM61" i="8" s="1"/>
  <c r="T117" i="8"/>
  <c r="V117" i="8" s="1"/>
  <c r="AM117" i="8" s="1"/>
  <c r="T125" i="8"/>
  <c r="V125" i="8" s="1"/>
  <c r="AM125" i="8" s="1"/>
  <c r="T113" i="8"/>
  <c r="V113" i="8" s="1"/>
  <c r="AM113" i="8" s="1"/>
  <c r="T69" i="8"/>
  <c r="V69" i="8" s="1"/>
  <c r="AM69" i="8" s="1"/>
  <c r="T133" i="8"/>
  <c r="V133" i="8" s="1"/>
  <c r="AM133" i="8" s="1"/>
  <c r="T121" i="8"/>
  <c r="V121" i="8" s="1"/>
  <c r="AM121" i="8" s="1"/>
  <c r="T60" i="8"/>
  <c r="V60" i="8" s="1"/>
  <c r="AM60" i="8" s="1"/>
  <c r="T124" i="8"/>
  <c r="V124" i="8" s="1"/>
  <c r="AM124" i="8" s="1"/>
  <c r="T13" i="8"/>
  <c r="V13" i="8" s="1"/>
  <c r="AM13" i="8" s="1"/>
  <c r="T77" i="8"/>
  <c r="V77" i="8" s="1"/>
  <c r="AM77" i="8" s="1"/>
  <c r="T141" i="8"/>
  <c r="V141" i="8" s="1"/>
  <c r="AM141" i="8" s="1"/>
  <c r="T14" i="8"/>
  <c r="V14" i="8" s="1"/>
  <c r="AM14" i="8" s="1"/>
  <c r="T51" i="8"/>
  <c r="V51" i="8" s="1"/>
  <c r="AM51" i="8" s="1"/>
  <c r="T115" i="8"/>
  <c r="V115" i="8" s="1"/>
  <c r="AM115" i="8" s="1"/>
  <c r="T129" i="8"/>
  <c r="V129" i="8" s="1"/>
  <c r="AM129" i="8" s="1"/>
  <c r="T68" i="8"/>
  <c r="V68" i="8" s="1"/>
  <c r="AM68" i="8" s="1"/>
  <c r="T132" i="8"/>
  <c r="V132" i="8" s="1"/>
  <c r="AM132" i="8" s="1"/>
  <c r="T21" i="8"/>
  <c r="V21" i="8" s="1"/>
  <c r="AM21" i="8" s="1"/>
  <c r="T85" i="8"/>
  <c r="V85" i="8" s="1"/>
  <c r="AM85" i="8" s="1"/>
  <c r="T149" i="8"/>
  <c r="V149" i="8" s="1"/>
  <c r="AM149" i="8" s="1"/>
  <c r="T22" i="8"/>
  <c r="V22" i="8" s="1"/>
  <c r="AM22" i="8" s="1"/>
  <c r="T59" i="8"/>
  <c r="V59" i="8" s="1"/>
  <c r="AM59" i="8" s="1"/>
  <c r="T123" i="8"/>
  <c r="V123" i="8" s="1"/>
  <c r="AM123" i="8" s="1"/>
  <c r="T12" i="8"/>
  <c r="V12" i="8" s="1"/>
  <c r="AM12" i="8" s="1"/>
  <c r="T76" i="8"/>
  <c r="V76" i="8" s="1"/>
  <c r="AM76" i="8" s="1"/>
  <c r="T140" i="8"/>
  <c r="V140" i="8" s="1"/>
  <c r="AM140" i="8" s="1"/>
  <c r="T29" i="8"/>
  <c r="V29" i="8" s="1"/>
  <c r="AM29" i="8" s="1"/>
  <c r="T93" i="8"/>
  <c r="V93" i="8" s="1"/>
  <c r="AM93" i="8" s="1"/>
  <c r="T157" i="8"/>
  <c r="V157" i="8" s="1"/>
  <c r="AM157" i="8" s="1"/>
  <c r="T30" i="8"/>
  <c r="V30" i="8" s="1"/>
  <c r="AM30" i="8" s="1"/>
  <c r="T67" i="8"/>
  <c r="V67" i="8" s="1"/>
  <c r="AM67" i="8" s="1"/>
  <c r="T131" i="8"/>
  <c r="V131" i="8" s="1"/>
  <c r="AM131" i="8" s="1"/>
  <c r="T20" i="8"/>
  <c r="V20" i="8" s="1"/>
  <c r="AM20" i="8" s="1"/>
  <c r="T84" i="8"/>
  <c r="V84" i="8" s="1"/>
  <c r="AM84" i="8" s="1"/>
  <c r="T148" i="8"/>
  <c r="V148" i="8" s="1"/>
  <c r="AM148" i="8" s="1"/>
  <c r="T37" i="8"/>
  <c r="V37" i="8" s="1"/>
  <c r="AM37" i="8" s="1"/>
  <c r="T101" i="8"/>
  <c r="V101" i="8" s="1"/>
  <c r="AM101" i="8" s="1"/>
  <c r="T25" i="8"/>
  <c r="V25" i="8" s="1"/>
  <c r="AM25" i="8" s="1"/>
  <c r="T62" i="8"/>
  <c r="V62" i="8" s="1"/>
  <c r="AM62" i="8" s="1"/>
  <c r="T75" i="8"/>
  <c r="V75" i="8" s="1"/>
  <c r="AM75" i="8" s="1"/>
  <c r="T139" i="8"/>
  <c r="V139" i="8" s="1"/>
  <c r="AM139" i="8" s="1"/>
  <c r="T28" i="8"/>
  <c r="V28" i="8" s="1"/>
  <c r="AM28" i="8" s="1"/>
  <c r="T92" i="8"/>
  <c r="V92" i="8" s="1"/>
  <c r="AM92" i="8" s="1"/>
  <c r="T156" i="8"/>
  <c r="V156" i="8" s="1"/>
  <c r="AM156" i="8" s="1"/>
  <c r="T45" i="8"/>
  <c r="V45" i="8" s="1"/>
  <c r="AM45" i="8" s="1"/>
  <c r="T109" i="8"/>
  <c r="V109" i="8" s="1"/>
  <c r="AM109" i="8" s="1"/>
  <c r="T49" i="8"/>
  <c r="V49" i="8" s="1"/>
  <c r="AM49" i="8" s="1"/>
  <c r="T150" i="8"/>
  <c r="V150" i="8" s="1"/>
  <c r="AM150" i="8" s="1"/>
  <c r="T95" i="6"/>
  <c r="V95" i="6" s="1"/>
  <c r="AM95" i="6" s="1"/>
  <c r="T71" i="6"/>
  <c r="V71" i="6" s="1"/>
  <c r="AM71" i="6" s="1"/>
  <c r="T61" i="6"/>
  <c r="V61" i="6" s="1"/>
  <c r="AM61" i="6" s="1"/>
  <c r="T113" i="6"/>
  <c r="V113" i="6" s="1"/>
  <c r="AM113" i="6" s="1"/>
  <c r="T134" i="6"/>
  <c r="V134" i="6" s="1"/>
  <c r="AM134" i="6" s="1"/>
  <c r="T147" i="6"/>
  <c r="V147" i="6" s="1"/>
  <c r="AM147" i="6" s="1"/>
  <c r="T126" i="6"/>
  <c r="V126" i="6" s="1"/>
  <c r="AM126" i="6" s="1"/>
  <c r="T97" i="6"/>
  <c r="V97" i="6" s="1"/>
  <c r="AM97" i="6" s="1"/>
  <c r="T136" i="6"/>
  <c r="V136" i="6" s="1"/>
  <c r="AM136" i="6" s="1"/>
  <c r="T45" i="6"/>
  <c r="V45" i="6" s="1"/>
  <c r="AM45" i="6" s="1"/>
  <c r="T138" i="6"/>
  <c r="V138" i="6" s="1"/>
  <c r="AM138" i="6" s="1"/>
  <c r="T120" i="6"/>
  <c r="V120" i="6" s="1"/>
  <c r="AM120" i="6" s="1"/>
  <c r="T21" i="6"/>
  <c r="V21" i="6" s="1"/>
  <c r="AM21" i="6" s="1"/>
  <c r="T122" i="6"/>
  <c r="V122" i="6" s="1"/>
  <c r="AM122" i="6" s="1"/>
  <c r="T112" i="6"/>
  <c r="V112" i="6" s="1"/>
  <c r="AM112" i="6" s="1"/>
  <c r="T68" i="6"/>
  <c r="V68" i="6" s="1"/>
  <c r="AM68" i="6" s="1"/>
  <c r="T34" i="6"/>
  <c r="V34" i="6" s="1"/>
  <c r="AM34" i="6" s="1"/>
  <c r="T8" i="6"/>
  <c r="V8" i="6" s="1"/>
  <c r="AM8" i="6" s="1"/>
  <c r="T12" i="6"/>
  <c r="V12" i="6" s="1"/>
  <c r="AM12" i="6" s="1"/>
  <c r="T93" i="6"/>
  <c r="V93" i="6" s="1"/>
  <c r="AM93" i="6" s="1"/>
  <c r="T111" i="6"/>
  <c r="V111" i="6" s="1"/>
  <c r="AM111" i="6" s="1"/>
  <c r="T118" i="6"/>
  <c r="V118" i="6" s="1"/>
  <c r="AM118" i="6" s="1"/>
  <c r="T91" i="6"/>
  <c r="V91" i="6" s="1"/>
  <c r="AM91" i="6" s="1"/>
  <c r="T49" i="6"/>
  <c r="V49" i="6" s="1"/>
  <c r="AM49" i="6" s="1"/>
  <c r="U384" i="5"/>
  <c r="U48" i="5"/>
  <c r="B127" i="3"/>
  <c r="T46" i="8"/>
  <c r="V46" i="8" s="1"/>
  <c r="AM46" i="8" s="1"/>
  <c r="T70" i="8"/>
  <c r="V70" i="8" s="1"/>
  <c r="AM70" i="8" s="1"/>
  <c r="T78" i="8"/>
  <c r="V78" i="8" s="1"/>
  <c r="AM78" i="8" s="1"/>
  <c r="T126" i="8"/>
  <c r="V126" i="8" s="1"/>
  <c r="AM126" i="8" s="1"/>
  <c r="T142" i="8"/>
  <c r="V142" i="8" s="1"/>
  <c r="AM142" i="8" s="1"/>
  <c r="B66" i="5"/>
  <c r="T142" i="6"/>
  <c r="V142" i="6" s="1"/>
  <c r="AM142" i="6" s="1"/>
  <c r="T131" i="6"/>
  <c r="V131" i="6" s="1"/>
  <c r="AM131" i="6" s="1"/>
  <c r="T114" i="6"/>
  <c r="V114" i="6" s="1"/>
  <c r="AM114" i="6" s="1"/>
  <c r="T73" i="6"/>
  <c r="V73" i="6" s="1"/>
  <c r="AM73" i="6" s="1"/>
  <c r="T48" i="6"/>
  <c r="T55" i="6"/>
  <c r="V55" i="6" s="1"/>
  <c r="AM55" i="6" s="1"/>
  <c r="B32" i="5"/>
  <c r="T78" i="6"/>
  <c r="V78" i="6" s="1"/>
  <c r="AM78" i="6" s="1"/>
  <c r="T107" i="6"/>
  <c r="V107" i="6" s="1"/>
  <c r="AM107" i="6" s="1"/>
  <c r="T50" i="6"/>
  <c r="V50" i="6" s="1"/>
  <c r="AM50" i="6" s="1"/>
  <c r="T57" i="6"/>
  <c r="V57" i="6" s="1"/>
  <c r="AM57" i="6" s="1"/>
  <c r="T32" i="6"/>
  <c r="V32" i="6" s="1"/>
  <c r="AM32" i="6" s="1"/>
  <c r="T47" i="6"/>
  <c r="U47" i="6" s="1"/>
  <c r="T54" i="6"/>
  <c r="V54" i="6" s="1"/>
  <c r="AM54" i="6" s="1"/>
  <c r="T52" i="6"/>
  <c r="V52" i="6" s="1"/>
  <c r="AM52" i="6" s="1"/>
  <c r="T83" i="6"/>
  <c r="V83" i="6" s="1"/>
  <c r="AM83" i="6" s="1"/>
  <c r="T10" i="6"/>
  <c r="V10" i="6" s="1"/>
  <c r="AM10" i="6" s="1"/>
  <c r="T125" i="6"/>
  <c r="V125" i="6" s="1"/>
  <c r="AM125" i="6" s="1"/>
  <c r="T133" i="6"/>
  <c r="V133" i="6" s="1"/>
  <c r="AM133" i="6" s="1"/>
  <c r="O9" i="8"/>
  <c r="T46" i="6"/>
  <c r="V46" i="6" s="1"/>
  <c r="T28" i="6"/>
  <c r="V28" i="6" s="1"/>
  <c r="AM28" i="6" s="1"/>
  <c r="T19" i="6"/>
  <c r="V19" i="6" s="1"/>
  <c r="AM19" i="6" s="1"/>
  <c r="T86" i="6"/>
  <c r="V86" i="6" s="1"/>
  <c r="AM86" i="6" s="1"/>
  <c r="T116" i="6"/>
  <c r="V116" i="6" s="1"/>
  <c r="AM116" i="6" s="1"/>
  <c r="T85" i="6"/>
  <c r="V85" i="6" s="1"/>
  <c r="AM85" i="6" s="1"/>
  <c r="T30" i="6"/>
  <c r="V30" i="6" s="1"/>
  <c r="AM30" i="6" s="1"/>
  <c r="T109" i="6"/>
  <c r="V109" i="6" s="1"/>
  <c r="AM109" i="6" s="1"/>
  <c r="T149" i="6"/>
  <c r="V149" i="6" s="1"/>
  <c r="T67" i="6"/>
  <c r="V67" i="6" s="1"/>
  <c r="AM67" i="6" s="1"/>
  <c r="T98" i="6"/>
  <c r="V98" i="6" s="1"/>
  <c r="AM98" i="6" s="1"/>
  <c r="T146" i="6"/>
  <c r="V146" i="6" s="1"/>
  <c r="AM146" i="6" s="1"/>
  <c r="T33" i="6"/>
  <c r="V33" i="6" s="1"/>
  <c r="AM33" i="6" s="1"/>
  <c r="T96" i="6"/>
  <c r="V96" i="6" s="1"/>
  <c r="AM96" i="6" s="1"/>
  <c r="T154" i="6"/>
  <c r="V154" i="6" s="1"/>
  <c r="AM154" i="6" s="1"/>
  <c r="T31" i="6"/>
  <c r="V31" i="6" s="1"/>
  <c r="AM31" i="6" s="1"/>
  <c r="T102" i="6"/>
  <c r="V102" i="6" s="1"/>
  <c r="T92" i="6"/>
  <c r="V92" i="6" s="1"/>
  <c r="AM92" i="6" s="1"/>
  <c r="T108" i="6"/>
  <c r="V108" i="6" s="1"/>
  <c r="AM108" i="6" s="1"/>
  <c r="T43" i="6"/>
  <c r="V43" i="6" s="1"/>
  <c r="AM43" i="6" s="1"/>
  <c r="T74" i="6"/>
  <c r="V74" i="6" s="1"/>
  <c r="AM74" i="6" s="1"/>
  <c r="T137" i="6"/>
  <c r="V137" i="6" s="1"/>
  <c r="AM137" i="6" s="1"/>
  <c r="T9" i="6"/>
  <c r="V9" i="6" s="1"/>
  <c r="AM9" i="6" s="1"/>
  <c r="T72" i="6"/>
  <c r="V72" i="6" s="1"/>
  <c r="AM72" i="6" s="1"/>
  <c r="T135" i="6"/>
  <c r="E169" i="3"/>
  <c r="B46" i="5"/>
  <c r="B49" i="5" s="1"/>
  <c r="Y52" i="5" s="1"/>
  <c r="AA52" i="5" s="1"/>
  <c r="T69" i="6"/>
  <c r="V69" i="6" s="1"/>
  <c r="AM69" i="6" s="1"/>
  <c r="T76" i="6"/>
  <c r="V76" i="6" s="1"/>
  <c r="AM76" i="6" s="1"/>
  <c r="T155" i="6"/>
  <c r="V155" i="6" s="1"/>
  <c r="AM155" i="6" s="1"/>
  <c r="T27" i="6"/>
  <c r="V27" i="6" s="1"/>
  <c r="AM27" i="6" s="1"/>
  <c r="T58" i="6"/>
  <c r="V58" i="6" s="1"/>
  <c r="AM58" i="6" s="1"/>
  <c r="T121" i="6"/>
  <c r="V121" i="6" s="1"/>
  <c r="T70" i="6"/>
  <c r="V70" i="6" s="1"/>
  <c r="AM70" i="6" s="1"/>
  <c r="T56" i="6"/>
  <c r="V56" i="6" s="1"/>
  <c r="AM56" i="6" s="1"/>
  <c r="T119" i="6"/>
  <c r="V119" i="6" s="1"/>
  <c r="AM119" i="6" s="1"/>
  <c r="B14" i="5"/>
  <c r="T22" i="6"/>
  <c r="V22" i="6" s="1"/>
  <c r="AM22" i="6" s="1"/>
  <c r="T37" i="6"/>
  <c r="V37" i="6" s="1"/>
  <c r="AM37" i="6" s="1"/>
  <c r="T124" i="6"/>
  <c r="V124" i="6" s="1"/>
  <c r="AM124" i="6" s="1"/>
  <c r="T44" i="6"/>
  <c r="T117" i="6"/>
  <c r="V117" i="6" s="1"/>
  <c r="AM117" i="6" s="1"/>
  <c r="T123" i="6"/>
  <c r="V123" i="6" s="1"/>
  <c r="AM123" i="6" s="1"/>
  <c r="T59" i="6"/>
  <c r="V59" i="6" s="1"/>
  <c r="AM59" i="6" s="1"/>
  <c r="T157" i="6"/>
  <c r="V157" i="6" s="1"/>
  <c r="AM157" i="6" s="1"/>
  <c r="T90" i="6"/>
  <c r="V90" i="6" s="1"/>
  <c r="AM90" i="6" s="1"/>
  <c r="T26" i="6"/>
  <c r="V26" i="6" s="1"/>
  <c r="AM26" i="6" s="1"/>
  <c r="T153" i="6"/>
  <c r="V153" i="6" s="1"/>
  <c r="AM153" i="6" s="1"/>
  <c r="T89" i="6"/>
  <c r="T25" i="6"/>
  <c r="V25" i="6" s="1"/>
  <c r="AM25" i="6" s="1"/>
  <c r="T152" i="6"/>
  <c r="V152" i="6" s="1"/>
  <c r="AM152" i="6" s="1"/>
  <c r="T88" i="6"/>
  <c r="V88" i="6" s="1"/>
  <c r="AM88" i="6" s="1"/>
  <c r="T24" i="6"/>
  <c r="V24" i="6" s="1"/>
  <c r="AM24" i="6" s="1"/>
  <c r="T151" i="6"/>
  <c r="V151" i="6" s="1"/>
  <c r="AM151" i="6" s="1"/>
  <c r="T87" i="6"/>
  <c r="V87" i="6" s="1"/>
  <c r="AM87" i="6" s="1"/>
  <c r="T23" i="6"/>
  <c r="V23" i="6" s="1"/>
  <c r="AM23" i="6" s="1"/>
  <c r="T14" i="6"/>
  <c r="V14" i="6" s="1"/>
  <c r="T29" i="6"/>
  <c r="V29" i="6" s="1"/>
  <c r="AM29" i="6" s="1"/>
  <c r="T100" i="6"/>
  <c r="V100" i="6" s="1"/>
  <c r="AM100" i="6" s="1"/>
  <c r="T36" i="6"/>
  <c r="V36" i="6" s="1"/>
  <c r="AM36" i="6" s="1"/>
  <c r="T148" i="6"/>
  <c r="V148" i="6" s="1"/>
  <c r="AM148" i="6" s="1"/>
  <c r="T115" i="6"/>
  <c r="V115" i="6" s="1"/>
  <c r="AM115" i="6" s="1"/>
  <c r="T51" i="6"/>
  <c r="V51" i="6" s="1"/>
  <c r="AM51" i="6" s="1"/>
  <c r="T77" i="6"/>
  <c r="V77" i="6" s="1"/>
  <c r="AM77" i="6" s="1"/>
  <c r="T82" i="6"/>
  <c r="U82" i="6" s="1"/>
  <c r="T18" i="6"/>
  <c r="V18" i="6" s="1"/>
  <c r="AM18" i="6" s="1"/>
  <c r="T145" i="6"/>
  <c r="V145" i="6" s="1"/>
  <c r="AM145" i="6" s="1"/>
  <c r="T81" i="6"/>
  <c r="V81" i="6" s="1"/>
  <c r="AM81" i="6" s="1"/>
  <c r="T17" i="6"/>
  <c r="V17" i="6" s="1"/>
  <c r="AM17" i="6" s="1"/>
  <c r="T144" i="6"/>
  <c r="V144" i="6" s="1"/>
  <c r="AM144" i="6" s="1"/>
  <c r="T80" i="6"/>
  <c r="V80" i="6" s="1"/>
  <c r="AM80" i="6" s="1"/>
  <c r="T16" i="6"/>
  <c r="V16" i="6" s="1"/>
  <c r="AM16" i="6" s="1"/>
  <c r="T143" i="6"/>
  <c r="T79" i="6"/>
  <c r="V79" i="6" s="1"/>
  <c r="AM79" i="6" s="1"/>
  <c r="T15" i="6"/>
  <c r="V15" i="6" s="1"/>
  <c r="AM15" i="6" s="1"/>
  <c r="T62" i="6"/>
  <c r="V62" i="6" s="1"/>
  <c r="AM62" i="6" s="1"/>
  <c r="T101" i="6"/>
  <c r="V101" i="6" s="1"/>
  <c r="AM101" i="6" s="1"/>
  <c r="T13" i="6"/>
  <c r="V13" i="6" s="1"/>
  <c r="AM13" i="6" s="1"/>
  <c r="T84" i="6"/>
  <c r="V84" i="6" s="1"/>
  <c r="AM84" i="6" s="1"/>
  <c r="T20" i="6"/>
  <c r="V20" i="6" s="1"/>
  <c r="AM20" i="6" s="1"/>
  <c r="O9" i="6"/>
  <c r="T99" i="6"/>
  <c r="V99" i="6" s="1"/>
  <c r="AM99" i="6" s="1"/>
  <c r="T35" i="6"/>
  <c r="V35" i="6" s="1"/>
  <c r="AM35" i="6" s="1"/>
  <c r="T130" i="6"/>
  <c r="V130" i="6" s="1"/>
  <c r="AM130" i="6" s="1"/>
  <c r="T66" i="6"/>
  <c r="V66" i="6" s="1"/>
  <c r="AM66" i="6" s="1"/>
  <c r="T150" i="6"/>
  <c r="V150" i="6" s="1"/>
  <c r="AM150" i="6" s="1"/>
  <c r="T129" i="6"/>
  <c r="V129" i="6" s="1"/>
  <c r="AM129" i="6" s="1"/>
  <c r="T65" i="6"/>
  <c r="V65" i="6" s="1"/>
  <c r="AM65" i="6" s="1"/>
  <c r="T7" i="6"/>
  <c r="T128" i="6"/>
  <c r="V128" i="6" s="1"/>
  <c r="AM128" i="6" s="1"/>
  <c r="T64" i="6"/>
  <c r="V64" i="6" s="1"/>
  <c r="AM64" i="6" s="1"/>
  <c r="T110" i="6"/>
  <c r="V110" i="6" s="1"/>
  <c r="AM110" i="6" s="1"/>
  <c r="T127" i="6"/>
  <c r="V127" i="6" s="1"/>
  <c r="AM127" i="6" s="1"/>
  <c r="T63" i="6"/>
  <c r="V63" i="6" s="1"/>
  <c r="AM63" i="6" s="1"/>
  <c r="T38" i="6"/>
  <c r="V38" i="6" s="1"/>
  <c r="AM38" i="6" s="1"/>
  <c r="T53" i="6"/>
  <c r="V53" i="6" s="1"/>
  <c r="AM53" i="6" s="1"/>
  <c r="T141" i="6"/>
  <c r="T60" i="6"/>
  <c r="V60" i="6" s="1"/>
  <c r="AM60" i="6" s="1"/>
  <c r="T94" i="6"/>
  <c r="V94" i="6" s="1"/>
  <c r="AM94" i="6" s="1"/>
  <c r="T139" i="6"/>
  <c r="V139" i="6" s="1"/>
  <c r="AM139" i="6" s="1"/>
  <c r="T75" i="6"/>
  <c r="V75" i="6" s="1"/>
  <c r="AM75" i="6" s="1"/>
  <c r="T11" i="6"/>
  <c r="V11" i="6" s="1"/>
  <c r="AM11" i="6" s="1"/>
  <c r="T106" i="6"/>
  <c r="V106" i="6" s="1"/>
  <c r="AM106" i="6" s="1"/>
  <c r="T42" i="6"/>
  <c r="V42" i="6" s="1"/>
  <c r="AM42" i="6" s="1"/>
  <c r="T132" i="6"/>
  <c r="T105" i="6"/>
  <c r="V105" i="6" s="1"/>
  <c r="AM105" i="6" s="1"/>
  <c r="T41" i="6"/>
  <c r="V41" i="6" s="1"/>
  <c r="AM41" i="6" s="1"/>
  <c r="T156" i="6"/>
  <c r="V156" i="6" s="1"/>
  <c r="AM156" i="6" s="1"/>
  <c r="T104" i="6"/>
  <c r="V104" i="6" s="1"/>
  <c r="AM104" i="6" s="1"/>
  <c r="T40" i="6"/>
  <c r="V40" i="6" s="1"/>
  <c r="AM40" i="6" s="1"/>
  <c r="T140" i="6"/>
  <c r="V140" i="6" s="1"/>
  <c r="AM140" i="6" s="1"/>
  <c r="T103" i="6"/>
  <c r="V103" i="6" s="1"/>
  <c r="AM103" i="6" s="1"/>
  <c r="T134" i="8"/>
  <c r="V134" i="8" s="1"/>
  <c r="AM134" i="8" s="1"/>
  <c r="T86" i="8"/>
  <c r="V86" i="8" s="1"/>
  <c r="AM86" i="8" s="1"/>
  <c r="T94" i="8"/>
  <c r="V94" i="8" s="1"/>
  <c r="AM94" i="8" s="1"/>
  <c r="T110" i="8"/>
  <c r="V110" i="8" s="1"/>
  <c r="AM110" i="8" s="1"/>
  <c r="T38" i="8"/>
  <c r="V38" i="8" s="1"/>
  <c r="AM38" i="8" s="1"/>
  <c r="T102" i="8"/>
  <c r="V102" i="8" s="1"/>
  <c r="AM102" i="8" s="1"/>
  <c r="T54" i="8"/>
  <c r="V54" i="8" s="1"/>
  <c r="AM54" i="8" s="1"/>
  <c r="W43" i="8"/>
  <c r="U31" i="8"/>
  <c r="W116" i="8"/>
  <c r="Y116" i="8" s="1"/>
  <c r="AR116" i="8" s="1"/>
  <c r="W122" i="8"/>
  <c r="Y122" i="8" s="1"/>
  <c r="AR122" i="8" s="1"/>
  <c r="U122" i="8"/>
  <c r="U305" i="5"/>
  <c r="U40" i="8"/>
  <c r="W118" i="8"/>
  <c r="Y118" i="8" s="1"/>
  <c r="AR118" i="8" s="1"/>
  <c r="AT118" i="8"/>
  <c r="U118" i="8"/>
  <c r="U139" i="8"/>
  <c r="U120" i="8"/>
  <c r="W157" i="8"/>
  <c r="W151" i="8"/>
  <c r="U151" i="8"/>
  <c r="U236" i="5"/>
  <c r="AT36" i="8"/>
  <c r="W26" i="8"/>
  <c r="Y26" i="8" s="1"/>
  <c r="AR26" i="8" s="1"/>
  <c r="U63" i="8"/>
  <c r="W66" i="8"/>
  <c r="Y66" i="8" s="1"/>
  <c r="AR66" i="8" s="1"/>
  <c r="U66" i="8"/>
  <c r="U82" i="8"/>
  <c r="AT7" i="8"/>
  <c r="U7" i="8"/>
  <c r="W7" i="8"/>
  <c r="Y7" i="8" s="1"/>
  <c r="AR7" i="8" s="1"/>
  <c r="U47" i="8"/>
  <c r="U58" i="8"/>
  <c r="W99" i="8"/>
  <c r="Y99" i="8" s="1"/>
  <c r="AR99" i="8" s="1"/>
  <c r="T241" i="5"/>
  <c r="U53" i="8"/>
  <c r="W55" i="8"/>
  <c r="Y55" i="8" s="1"/>
  <c r="AR55" i="8" s="1"/>
  <c r="U55" i="8"/>
  <c r="W112" i="8"/>
  <c r="Y112" i="8" s="1"/>
  <c r="AR112" i="8" s="1"/>
  <c r="U90" i="8"/>
  <c r="W135" i="8"/>
  <c r="U135" i="8"/>
  <c r="U8" i="8"/>
  <c r="U42" i="8"/>
  <c r="W56" i="8"/>
  <c r="U56" i="8"/>
  <c r="AT119" i="8"/>
  <c r="U119" i="8"/>
  <c r="W119" i="8"/>
  <c r="W155" i="8"/>
  <c r="Y155" i="8" s="1"/>
  <c r="AR155" i="8" s="1"/>
  <c r="U155" i="8"/>
  <c r="U98" i="8"/>
  <c r="W98" i="8"/>
  <c r="AT114" i="8"/>
  <c r="U114" i="8"/>
  <c r="T508" i="5"/>
  <c r="W50" i="8"/>
  <c r="Y50" i="8" s="1"/>
  <c r="AR50" i="8" s="1"/>
  <c r="W72" i="8"/>
  <c r="U72" i="8"/>
  <c r="U127" i="8"/>
  <c r="AT95" i="8"/>
  <c r="W95" i="8"/>
  <c r="Y95" i="8" s="1"/>
  <c r="AR95" i="8" s="1"/>
  <c r="U95" i="8"/>
  <c r="W146" i="8"/>
  <c r="AT27" i="8"/>
  <c r="W27" i="8"/>
  <c r="Y27" i="8" s="1"/>
  <c r="AR27" i="8" s="1"/>
  <c r="U27" i="8"/>
  <c r="U64" i="8"/>
  <c r="W23" i="8"/>
  <c r="Y23" i="8" s="1"/>
  <c r="AR23" i="8" s="1"/>
  <c r="U23" i="8"/>
  <c r="W67" i="8"/>
  <c r="Y67" i="8" s="1"/>
  <c r="AR67" i="8" s="1"/>
  <c r="W107" i="8"/>
  <c r="U107" i="8"/>
  <c r="U108" i="8"/>
  <c r="U128" i="8"/>
  <c r="U324" i="5"/>
  <c r="T115" i="5"/>
  <c r="T373" i="5"/>
  <c r="U360" i="5"/>
  <c r="U202" i="5"/>
  <c r="U54" i="6"/>
  <c r="U69" i="6"/>
  <c r="U91" i="6"/>
  <c r="U70" i="6"/>
  <c r="U134" i="6"/>
  <c r="W147" i="6"/>
  <c r="X147" i="6" s="1"/>
  <c r="U147" i="6"/>
  <c r="U83" i="6"/>
  <c r="W113" i="6"/>
  <c r="X113" i="6" s="1"/>
  <c r="W111" i="6"/>
  <c r="X111" i="6" s="1"/>
  <c r="W39" i="6"/>
  <c r="X39" i="6" s="1"/>
  <c r="U39" i="6"/>
  <c r="U67" i="6"/>
  <c r="U95" i="6"/>
  <c r="W31" i="6"/>
  <c r="Y31" i="6" s="1"/>
  <c r="AR31" i="6" s="1"/>
  <c r="U92" i="6"/>
  <c r="U28" i="6"/>
  <c r="U138" i="6"/>
  <c r="AT73" i="6"/>
  <c r="U73" i="6"/>
  <c r="U136" i="6"/>
  <c r="U135" i="6"/>
  <c r="U71" i="6"/>
  <c r="T348" i="5"/>
  <c r="T545" i="5"/>
  <c r="U372" i="5"/>
  <c r="T433" i="5"/>
  <c r="U274" i="5"/>
  <c r="U449" i="5"/>
  <c r="T345" i="5"/>
  <c r="T505" i="5"/>
  <c r="U286" i="5"/>
  <c r="AX10" i="5"/>
  <c r="T483" i="5"/>
  <c r="U276" i="5"/>
  <c r="U245" i="5"/>
  <c r="U157" i="5"/>
  <c r="T553" i="5"/>
  <c r="T298" i="5"/>
  <c r="T176" i="5"/>
  <c r="T397" i="5"/>
  <c r="T491" i="5"/>
  <c r="T213" i="5"/>
  <c r="T473" i="5"/>
  <c r="T432" i="5"/>
  <c r="T238" i="5"/>
  <c r="T478" i="5"/>
  <c r="T353" i="5"/>
  <c r="E48" i="3"/>
  <c r="B214" i="3"/>
  <c r="B215" i="3" s="1"/>
  <c r="B121" i="3"/>
  <c r="B122" i="3" s="1"/>
  <c r="B167" i="3" s="1"/>
  <c r="I79" i="2" s="1"/>
  <c r="B144" i="3"/>
  <c r="V7" i="5" s="1"/>
  <c r="B125" i="3"/>
  <c r="B36" i="5" s="1"/>
  <c r="P557" i="5" s="1"/>
  <c r="B232" i="3"/>
  <c r="B233" i="3" s="1"/>
  <c r="AJ10" i="5"/>
  <c r="AU10" i="5"/>
  <c r="B41" i="3"/>
  <c r="I26" i="2" s="1"/>
  <c r="U10" i="5"/>
  <c r="T10" i="5"/>
  <c r="B46" i="3"/>
  <c r="B18" i="5"/>
  <c r="C184" i="3"/>
  <c r="B184" i="3" s="1"/>
  <c r="I68" i="2" s="1"/>
  <c r="I51" i="2"/>
  <c r="E101" i="3"/>
  <c r="B47" i="3"/>
  <c r="B51" i="3" s="1"/>
  <c r="B45" i="3"/>
  <c r="B49" i="3" s="1"/>
  <c r="I15" i="2"/>
  <c r="J4" i="4"/>
  <c r="J8" i="4"/>
  <c r="J12" i="4"/>
  <c r="J16" i="4"/>
  <c r="J20" i="4"/>
  <c r="J24" i="4"/>
  <c r="J28" i="4"/>
  <c r="J32" i="4"/>
  <c r="J36" i="4"/>
  <c r="J40" i="4"/>
  <c r="J44" i="4"/>
  <c r="J48" i="4"/>
  <c r="J52" i="4"/>
  <c r="J56" i="4"/>
  <c r="J60" i="4"/>
  <c r="J64" i="4"/>
  <c r="J68" i="4"/>
  <c r="J72" i="4"/>
  <c r="J76" i="4"/>
  <c r="J80" i="4"/>
  <c r="J84" i="4"/>
  <c r="J88" i="4"/>
  <c r="J92" i="4"/>
  <c r="J96" i="4"/>
  <c r="J100" i="4"/>
  <c r="J104" i="4"/>
  <c r="J74" i="4"/>
  <c r="J101" i="4"/>
  <c r="J37" i="4"/>
  <c r="J69" i="4"/>
  <c r="J90" i="4"/>
  <c r="J5" i="4"/>
  <c r="J10" i="4"/>
  <c r="J15" i="4"/>
  <c r="J21" i="4"/>
  <c r="J26" i="4"/>
  <c r="J42" i="4"/>
  <c r="J58" i="4"/>
  <c r="J85" i="4"/>
  <c r="J6" i="4"/>
  <c r="J11" i="4"/>
  <c r="J17" i="4"/>
  <c r="J22" i="4"/>
  <c r="J27" i="4"/>
  <c r="J33" i="4"/>
  <c r="J38" i="4"/>
  <c r="J43" i="4"/>
  <c r="J49" i="4"/>
  <c r="J54" i="4"/>
  <c r="J59" i="4"/>
  <c r="J65" i="4"/>
  <c r="J70" i="4"/>
  <c r="J75" i="4"/>
  <c r="J81" i="4"/>
  <c r="J86" i="4"/>
  <c r="J91" i="4"/>
  <c r="J97" i="4"/>
  <c r="J102" i="4"/>
  <c r="J7" i="4"/>
  <c r="J13" i="4"/>
  <c r="J18" i="4"/>
  <c r="J23" i="4"/>
  <c r="J29" i="4"/>
  <c r="J34" i="4"/>
  <c r="J39" i="4"/>
  <c r="J45" i="4"/>
  <c r="J50" i="4"/>
  <c r="J55" i="4"/>
  <c r="J61" i="4"/>
  <c r="J66" i="4"/>
  <c r="J71" i="4"/>
  <c r="J77" i="4"/>
  <c r="J82" i="4"/>
  <c r="J87" i="4"/>
  <c r="J93" i="4"/>
  <c r="J98" i="4"/>
  <c r="J103" i="4"/>
  <c r="J9" i="4"/>
  <c r="J14" i="4"/>
  <c r="J19" i="4"/>
  <c r="J25" i="4"/>
  <c r="J30" i="4"/>
  <c r="J35" i="4"/>
  <c r="J41" i="4"/>
  <c r="J46" i="4"/>
  <c r="J51" i="4"/>
  <c r="J57" i="4"/>
  <c r="J62" i="4"/>
  <c r="J67" i="4"/>
  <c r="J73" i="4"/>
  <c r="J78" i="4"/>
  <c r="J83" i="4"/>
  <c r="J89" i="4"/>
  <c r="J94" i="4"/>
  <c r="J99" i="4"/>
  <c r="J31" i="4"/>
  <c r="J47" i="4"/>
  <c r="J53" i="4"/>
  <c r="J63" i="4"/>
  <c r="J79" i="4"/>
  <c r="J95" i="4"/>
  <c r="G88" i="4"/>
  <c r="G71" i="4"/>
  <c r="G54" i="4"/>
  <c r="G15" i="4"/>
  <c r="G64" i="4"/>
  <c r="G69" i="4"/>
  <c r="G5" i="4"/>
  <c r="G44" i="4"/>
  <c r="G75" i="4"/>
  <c r="G11" i="4"/>
  <c r="G42" i="4"/>
  <c r="G81" i="4"/>
  <c r="G17" i="4"/>
  <c r="G55" i="4"/>
  <c r="G94" i="4"/>
  <c r="G72" i="4"/>
  <c r="G38" i="4"/>
  <c r="G46" i="4"/>
  <c r="G61" i="4"/>
  <c r="G100" i="4"/>
  <c r="G36" i="4"/>
  <c r="G67" i="4"/>
  <c r="G98" i="4"/>
  <c r="G34" i="4"/>
  <c r="G73" i="4"/>
  <c r="G16" i="4"/>
  <c r="G32" i="4"/>
  <c r="G95" i="4"/>
  <c r="G56" i="4"/>
  <c r="G23" i="4"/>
  <c r="G53" i="4"/>
  <c r="G92" i="4"/>
  <c r="G28" i="4"/>
  <c r="G59" i="4"/>
  <c r="G90" i="4"/>
  <c r="G26" i="4"/>
  <c r="G65" i="4"/>
  <c r="G103" i="4"/>
  <c r="G78" i="4"/>
  <c r="G14" i="4"/>
  <c r="G79" i="4"/>
  <c r="G9" i="4"/>
  <c r="G45" i="4"/>
  <c r="G84" i="4"/>
  <c r="G20" i="4"/>
  <c r="G51" i="4"/>
  <c r="G82" i="4"/>
  <c r="G18" i="4"/>
  <c r="G57" i="4"/>
  <c r="G6" i="4"/>
  <c r="G40" i="4"/>
  <c r="G39" i="4"/>
  <c r="G96" i="4"/>
  <c r="G102" i="4"/>
  <c r="G101" i="4"/>
  <c r="G37" i="4"/>
  <c r="G76" i="4"/>
  <c r="G12" i="4"/>
  <c r="G43" i="4"/>
  <c r="G74" i="4"/>
  <c r="G10" i="4"/>
  <c r="G49" i="4"/>
  <c r="G24" i="4"/>
  <c r="G7" i="4"/>
  <c r="G63" i="4"/>
  <c r="G62" i="4"/>
  <c r="G80" i="4"/>
  <c r="G93" i="4"/>
  <c r="G29" i="4"/>
  <c r="G68" i="4"/>
  <c r="G99" i="4"/>
  <c r="G35" i="4"/>
  <c r="G66" i="4"/>
  <c r="G4" i="4"/>
  <c r="G41" i="4"/>
  <c r="G47" i="4"/>
  <c r="G30" i="4"/>
  <c r="G8" i="4"/>
  <c r="G22" i="4"/>
  <c r="G86" i="4"/>
  <c r="G85" i="4"/>
  <c r="G21" i="4"/>
  <c r="G60" i="4"/>
  <c r="G91" i="4"/>
  <c r="G27" i="4"/>
  <c r="G58" i="4"/>
  <c r="G97" i="4"/>
  <c r="G33" i="4"/>
  <c r="G70" i="4"/>
  <c r="G48" i="4"/>
  <c r="G31" i="4"/>
  <c r="G104" i="4"/>
  <c r="G87" i="4"/>
  <c r="G77" i="4"/>
  <c r="G13" i="4"/>
  <c r="G52" i="4"/>
  <c r="G83" i="4"/>
  <c r="G19" i="4"/>
  <c r="G50" i="4"/>
  <c r="G89" i="4"/>
  <c r="G25" i="4"/>
  <c r="D108" i="1"/>
  <c r="D107" i="1"/>
  <c r="E103" i="1"/>
  <c r="D103" i="1"/>
  <c r="D99" i="1"/>
  <c r="C99" i="1"/>
  <c r="D94" i="1"/>
  <c r="D93" i="1"/>
  <c r="D86" i="1"/>
  <c r="D85" i="1"/>
  <c r="D84" i="1"/>
  <c r="E83" i="1"/>
  <c r="D83" i="1"/>
  <c r="C83" i="1"/>
  <c r="E75" i="1"/>
  <c r="D75" i="1"/>
  <c r="C75" i="1"/>
  <c r="D76" i="1"/>
  <c r="D74" i="1"/>
  <c r="D73" i="1"/>
  <c r="E71" i="1"/>
  <c r="C71" i="1"/>
  <c r="D71" i="1"/>
  <c r="E69" i="1"/>
  <c r="D69" i="1"/>
  <c r="C69" i="1"/>
  <c r="D70" i="1"/>
  <c r="E68" i="1"/>
  <c r="D68" i="1"/>
  <c r="B85" i="3" s="1"/>
  <c r="C68" i="1"/>
  <c r="D64" i="1"/>
  <c r="D63" i="1"/>
  <c r="D62" i="1"/>
  <c r="E62" i="1"/>
  <c r="E61" i="1"/>
  <c r="B23" i="3" s="1"/>
  <c r="E23" i="3" s="1"/>
  <c r="D61" i="1"/>
  <c r="E58" i="1"/>
  <c r="D58" i="1"/>
  <c r="C58" i="1"/>
  <c r="C47" i="1"/>
  <c r="E42" i="1"/>
  <c r="C42" i="1"/>
  <c r="D42" i="1"/>
  <c r="E41" i="1"/>
  <c r="D41" i="1"/>
  <c r="C41" i="1"/>
  <c r="D38" i="1"/>
  <c r="D33" i="1"/>
  <c r="D30" i="1"/>
  <c r="E27" i="1"/>
  <c r="D27" i="1"/>
  <c r="C27" i="1"/>
  <c r="C21" i="1"/>
  <c r="D21" i="1"/>
  <c r="E21" i="1"/>
  <c r="E15" i="1"/>
  <c r="D15" i="1"/>
  <c r="E14" i="1"/>
  <c r="D14" i="1"/>
  <c r="C13" i="1"/>
  <c r="D13" i="1"/>
  <c r="E6" i="1"/>
  <c r="D6" i="1"/>
  <c r="E5" i="1"/>
  <c r="D5" i="1"/>
  <c r="W77" i="6" l="1"/>
  <c r="X77" i="6" s="1"/>
  <c r="AT23" i="6"/>
  <c r="W153" i="6"/>
  <c r="X153" i="6" s="1"/>
  <c r="W136" i="6"/>
  <c r="X136" i="6" s="1"/>
  <c r="U65" i="6"/>
  <c r="W124" i="6"/>
  <c r="X124" i="6" s="1"/>
  <c r="U72" i="6"/>
  <c r="U32" i="6"/>
  <c r="U109" i="6"/>
  <c r="AT109" i="6"/>
  <c r="U53" i="6"/>
  <c r="U16" i="6"/>
  <c r="U77" i="6"/>
  <c r="W130" i="8"/>
  <c r="Y130" i="8" s="1"/>
  <c r="AR130" i="8" s="1"/>
  <c r="U130" i="8"/>
  <c r="W44" i="8"/>
  <c r="Y44" i="8" s="1"/>
  <c r="AR44" i="8" s="1"/>
  <c r="U136" i="8"/>
  <c r="U44" i="8"/>
  <c r="W136" i="8"/>
  <c r="U45" i="8"/>
  <c r="P520" i="5"/>
  <c r="W125" i="6"/>
  <c r="X125" i="6" s="1"/>
  <c r="W138" i="6"/>
  <c r="X138" i="6" s="1"/>
  <c r="W96" i="8"/>
  <c r="P453" i="5"/>
  <c r="W127" i="8"/>
  <c r="Y127" i="8" s="1"/>
  <c r="AR127" i="8" s="1"/>
  <c r="W57" i="8"/>
  <c r="W95" i="6"/>
  <c r="X95" i="6" s="1"/>
  <c r="P362" i="5"/>
  <c r="P235" i="5"/>
  <c r="Q235" i="5" s="1"/>
  <c r="W20" i="6"/>
  <c r="Y20" i="6" s="1"/>
  <c r="AR20" i="6" s="1"/>
  <c r="W21" i="6"/>
  <c r="Y21" i="6" s="1"/>
  <c r="AR21" i="6" s="1"/>
  <c r="W53" i="8"/>
  <c r="W109" i="6"/>
  <c r="X109" i="6" s="1"/>
  <c r="W103" i="8"/>
  <c r="Y103" i="8" s="1"/>
  <c r="AR103" i="8" s="1"/>
  <c r="W141" i="8"/>
  <c r="Y141" i="8" s="1"/>
  <c r="AR141" i="8" s="1"/>
  <c r="W122" i="6"/>
  <c r="X122" i="6" s="1"/>
  <c r="W128" i="8"/>
  <c r="W120" i="8"/>
  <c r="Y120" i="8" s="1"/>
  <c r="AR120" i="8" s="1"/>
  <c r="W114" i="8"/>
  <c r="W63" i="8"/>
  <c r="Y63" i="8" s="1"/>
  <c r="AR63" i="8" s="1"/>
  <c r="W42" i="6"/>
  <c r="X42" i="6" s="1"/>
  <c r="W91" i="6"/>
  <c r="X91" i="6" s="1"/>
  <c r="W49" i="8"/>
  <c r="Y49" i="8" s="1"/>
  <c r="AR49" i="8" s="1"/>
  <c r="W79" i="8"/>
  <c r="W18" i="8"/>
  <c r="Y18" i="8" s="1"/>
  <c r="AR18" i="8" s="1"/>
  <c r="AT135" i="8"/>
  <c r="U9" i="8"/>
  <c r="U96" i="8"/>
  <c r="U15" i="8"/>
  <c r="U65" i="8"/>
  <c r="U148" i="8"/>
  <c r="W15" i="8"/>
  <c r="Y15" i="8" s="1"/>
  <c r="AR15" i="8" s="1"/>
  <c r="W90" i="8"/>
  <c r="Y90" i="8" s="1"/>
  <c r="AR90" i="8" s="1"/>
  <c r="W82" i="8"/>
  <c r="W31" i="8"/>
  <c r="Y31" i="8" s="1"/>
  <c r="AR31" i="8" s="1"/>
  <c r="W60" i="8"/>
  <c r="X60" i="8" s="1"/>
  <c r="AT112" i="8"/>
  <c r="W58" i="8"/>
  <c r="Y58" i="8" s="1"/>
  <c r="AR58" i="8" s="1"/>
  <c r="W40" i="8"/>
  <c r="Y40" i="8" s="1"/>
  <c r="AR40" i="8" s="1"/>
  <c r="W11" i="8"/>
  <c r="W61" i="8"/>
  <c r="U71" i="8"/>
  <c r="U41" i="8"/>
  <c r="U35" i="8"/>
  <c r="U11" i="8"/>
  <c r="W148" i="8"/>
  <c r="U123" i="8"/>
  <c r="W71" i="8"/>
  <c r="Y71" i="8" s="1"/>
  <c r="AR71" i="8" s="1"/>
  <c r="W48" i="8"/>
  <c r="Y48" i="8" s="1"/>
  <c r="AR48" i="8" s="1"/>
  <c r="U85" i="8"/>
  <c r="W35" i="8"/>
  <c r="Y35" i="8" s="1"/>
  <c r="AR35" i="8" s="1"/>
  <c r="U141" i="8"/>
  <c r="W123" i="8"/>
  <c r="Y123" i="8" s="1"/>
  <c r="AR123" i="8" s="1"/>
  <c r="U79" i="8"/>
  <c r="U103" i="8"/>
  <c r="W39" i="8"/>
  <c r="X39" i="8" s="1"/>
  <c r="U142" i="8"/>
  <c r="U87" i="8"/>
  <c r="W9" i="8"/>
  <c r="Y9" i="8" s="1"/>
  <c r="AR9" i="8" s="1"/>
  <c r="AT122" i="8"/>
  <c r="U39" i="8"/>
  <c r="U106" i="8"/>
  <c r="U24" i="8"/>
  <c r="W87" i="8"/>
  <c r="U20" i="8"/>
  <c r="AT39" i="8"/>
  <c r="W106" i="8"/>
  <c r="Y106" i="8" s="1"/>
  <c r="AR106" i="8" s="1"/>
  <c r="W24" i="8"/>
  <c r="Y24" i="8" s="1"/>
  <c r="AR24" i="8" s="1"/>
  <c r="U99" i="8"/>
  <c r="AE99" i="8" s="1"/>
  <c r="W51" i="8"/>
  <c r="W125" i="8"/>
  <c r="Y125" i="8" s="1"/>
  <c r="AR125" i="8" s="1"/>
  <c r="W45" i="8"/>
  <c r="AE45" i="8" s="1"/>
  <c r="U117" i="8"/>
  <c r="W74" i="8"/>
  <c r="W88" i="8"/>
  <c r="W138" i="8"/>
  <c r="Y138" i="8" s="1"/>
  <c r="AR138" i="8" s="1"/>
  <c r="W16" i="8"/>
  <c r="U91" i="8"/>
  <c r="W65" i="8"/>
  <c r="W117" i="8"/>
  <c r="Y117" i="8" s="1"/>
  <c r="AR117" i="8" s="1"/>
  <c r="U74" i="8"/>
  <c r="U22" i="8"/>
  <c r="U138" i="8"/>
  <c r="AE138" i="8" s="1"/>
  <c r="W91" i="8"/>
  <c r="Y91" i="8" s="1"/>
  <c r="AR91" i="8" s="1"/>
  <c r="U143" i="8"/>
  <c r="U111" i="8"/>
  <c r="U13" i="8"/>
  <c r="U101" i="8"/>
  <c r="U52" i="8"/>
  <c r="U145" i="8"/>
  <c r="U80" i="8"/>
  <c r="U88" i="8"/>
  <c r="W143" i="8"/>
  <c r="Y143" i="8" s="1"/>
  <c r="AR143" i="8" s="1"/>
  <c r="W111" i="8"/>
  <c r="Y111" i="8" s="1"/>
  <c r="AR111" i="8" s="1"/>
  <c r="W13" i="8"/>
  <c r="Y13" i="8" s="1"/>
  <c r="AR13" i="8" s="1"/>
  <c r="W52" i="8"/>
  <c r="Y52" i="8" s="1"/>
  <c r="AR52" i="8" s="1"/>
  <c r="W145" i="8"/>
  <c r="W80" i="8"/>
  <c r="U144" i="8"/>
  <c r="AT143" i="8"/>
  <c r="U60" i="8"/>
  <c r="W42" i="8"/>
  <c r="X42" i="8" s="1"/>
  <c r="U112" i="8"/>
  <c r="U18" i="8"/>
  <c r="AE18" i="8" s="1"/>
  <c r="U48" i="8"/>
  <c r="U49" i="8"/>
  <c r="W76" i="8"/>
  <c r="Y76" i="8" s="1"/>
  <c r="AR76" i="8" s="1"/>
  <c r="W144" i="8"/>
  <c r="Y144" i="8" s="1"/>
  <c r="AR144" i="8" s="1"/>
  <c r="P438" i="5"/>
  <c r="P443" i="5"/>
  <c r="P304" i="5"/>
  <c r="Q304" i="5" s="1"/>
  <c r="P137" i="5"/>
  <c r="AT20" i="6"/>
  <c r="AT31" i="6"/>
  <c r="AT67" i="6"/>
  <c r="AT111" i="6"/>
  <c r="AT134" i="6"/>
  <c r="AT23" i="8"/>
  <c r="U137" i="8"/>
  <c r="AT50" i="8"/>
  <c r="AT81" i="8"/>
  <c r="AT8" i="8"/>
  <c r="U152" i="8"/>
  <c r="AT145" i="8"/>
  <c r="AT31" i="8"/>
  <c r="P421" i="5"/>
  <c r="R421" i="5" s="1"/>
  <c r="P351" i="5"/>
  <c r="P264" i="5"/>
  <c r="P107" i="5"/>
  <c r="R107" i="5" s="1"/>
  <c r="U84" i="6"/>
  <c r="AT131" i="6"/>
  <c r="U112" i="6"/>
  <c r="U61" i="6"/>
  <c r="AT128" i="8"/>
  <c r="W137" i="8"/>
  <c r="Y137" i="8" s="1"/>
  <c r="AR137" i="8" s="1"/>
  <c r="U62" i="8"/>
  <c r="AE62" i="8" s="1"/>
  <c r="AT153" i="8"/>
  <c r="AT90" i="8"/>
  <c r="AT18" i="8"/>
  <c r="AT99" i="8"/>
  <c r="AT152" i="8"/>
  <c r="AT82" i="8"/>
  <c r="U126" i="8"/>
  <c r="AT40" i="8"/>
  <c r="AT144" i="8"/>
  <c r="U32" i="8"/>
  <c r="P252" i="5"/>
  <c r="R252" i="5" s="1"/>
  <c r="P380" i="5"/>
  <c r="P185" i="5"/>
  <c r="R185" i="5" s="1"/>
  <c r="AT112" i="6"/>
  <c r="AT65" i="8"/>
  <c r="AT137" i="8"/>
  <c r="AT127" i="8"/>
  <c r="AT62" i="8"/>
  <c r="AT136" i="8"/>
  <c r="AT98" i="8"/>
  <c r="AT94" i="8"/>
  <c r="AT71" i="8"/>
  <c r="AT48" i="8"/>
  <c r="W152" i="8"/>
  <c r="Y152" i="8" s="1"/>
  <c r="AR152" i="8" s="1"/>
  <c r="AT86" i="8"/>
  <c r="AT63" i="8"/>
  <c r="AT126" i="8"/>
  <c r="W32" i="8"/>
  <c r="Y32" i="8" s="1"/>
  <c r="AR32" i="8" s="1"/>
  <c r="P318" i="5"/>
  <c r="Q318" i="5" s="1"/>
  <c r="U55" i="6"/>
  <c r="P12" i="5"/>
  <c r="Q12" i="5" s="1"/>
  <c r="P526" i="5"/>
  <c r="Q526" i="5" s="1"/>
  <c r="P555" i="5"/>
  <c r="P340" i="5"/>
  <c r="P251" i="5"/>
  <c r="R251" i="5" s="1"/>
  <c r="AT71" i="6"/>
  <c r="AT28" i="6"/>
  <c r="AT77" i="6"/>
  <c r="AT95" i="6"/>
  <c r="U125" i="6"/>
  <c r="AT55" i="6"/>
  <c r="AT156" i="8"/>
  <c r="U67" i="8"/>
  <c r="AE67" i="8" s="1"/>
  <c r="AT24" i="8"/>
  <c r="U146" i="8"/>
  <c r="U57" i="8"/>
  <c r="W62" i="8"/>
  <c r="X62" i="8" s="1"/>
  <c r="AT132" i="8"/>
  <c r="AT56" i="8"/>
  <c r="AT88" i="8"/>
  <c r="AT151" i="8"/>
  <c r="AT91" i="8"/>
  <c r="AT51" i="8"/>
  <c r="AT32" i="8"/>
  <c r="P275" i="5"/>
  <c r="R275" i="5" s="1"/>
  <c r="P531" i="5"/>
  <c r="Q531" i="5" s="1"/>
  <c r="P470" i="5"/>
  <c r="P159" i="5"/>
  <c r="P205" i="5"/>
  <c r="R205" i="5" s="1"/>
  <c r="AT128" i="6"/>
  <c r="AT92" i="6"/>
  <c r="AT25" i="6"/>
  <c r="AT32" i="6"/>
  <c r="AT58" i="6"/>
  <c r="AT108" i="8"/>
  <c r="AT67" i="8"/>
  <c r="W64" i="8"/>
  <c r="X64" i="8" s="1"/>
  <c r="AT146" i="8"/>
  <c r="AT57" i="8"/>
  <c r="AT123" i="8"/>
  <c r="AT87" i="8"/>
  <c r="U129" i="8"/>
  <c r="AT74" i="8"/>
  <c r="AT55" i="8"/>
  <c r="AT9" i="8"/>
  <c r="AT79" i="8"/>
  <c r="AT138" i="8"/>
  <c r="AT66" i="8"/>
  <c r="AT52" i="8"/>
  <c r="W41" i="8"/>
  <c r="Y41" i="8" s="1"/>
  <c r="AR41" i="8" s="1"/>
  <c r="AT130" i="8"/>
  <c r="U43" i="8"/>
  <c r="P200" i="5"/>
  <c r="Q200" i="5" s="1"/>
  <c r="P504" i="5"/>
  <c r="P312" i="5"/>
  <c r="R312" i="5" s="1"/>
  <c r="P167" i="5"/>
  <c r="Q167" i="5" s="1"/>
  <c r="P541" i="5"/>
  <c r="AT72" i="6"/>
  <c r="AT96" i="6"/>
  <c r="AT113" i="6"/>
  <c r="AT64" i="8"/>
  <c r="AT15" i="8"/>
  <c r="AT42" i="8"/>
  <c r="W129" i="8"/>
  <c r="AT105" i="8"/>
  <c r="AT41" i="8"/>
  <c r="AT80" i="8"/>
  <c r="AT35" i="8"/>
  <c r="AT43" i="8"/>
  <c r="U29" i="8"/>
  <c r="AT133" i="8"/>
  <c r="AT20" i="8"/>
  <c r="AT85" i="8"/>
  <c r="AT125" i="8"/>
  <c r="P13" i="5"/>
  <c r="P478" i="5"/>
  <c r="B37" i="5"/>
  <c r="P77" i="5"/>
  <c r="AT65" i="6"/>
  <c r="AT39" i="6"/>
  <c r="U19" i="8"/>
  <c r="AT129" i="8"/>
  <c r="AT111" i="8"/>
  <c r="AT120" i="8"/>
  <c r="P548" i="5"/>
  <c r="Q548" i="5" s="1"/>
  <c r="P343" i="5"/>
  <c r="R343" i="5" s="1"/>
  <c r="P24" i="5"/>
  <c r="P124" i="5"/>
  <c r="AT130" i="6"/>
  <c r="AT118" i="6"/>
  <c r="AT117" i="6"/>
  <c r="U126" i="6"/>
  <c r="AT103" i="6"/>
  <c r="AT106" i="8"/>
  <c r="AT60" i="8"/>
  <c r="AT148" i="8"/>
  <c r="AT72" i="8"/>
  <c r="W19" i="8"/>
  <c r="Y19" i="8" s="1"/>
  <c r="AR19" i="8" s="1"/>
  <c r="AT155" i="8"/>
  <c r="W29" i="8"/>
  <c r="U113" i="8"/>
  <c r="AT53" i="8"/>
  <c r="U154" i="8"/>
  <c r="U92" i="8"/>
  <c r="AT70" i="8"/>
  <c r="W85" i="8"/>
  <c r="AE85" i="8" s="1"/>
  <c r="AT83" i="8"/>
  <c r="AT11" i="8"/>
  <c r="AT89" i="6"/>
  <c r="P519" i="5"/>
  <c r="R519" i="5" s="1"/>
  <c r="P284" i="5"/>
  <c r="P538" i="5"/>
  <c r="P293" i="5"/>
  <c r="Q293" i="5" s="1"/>
  <c r="P287" i="5"/>
  <c r="P36" i="5"/>
  <c r="Q36" i="5" s="1"/>
  <c r="U99" i="6"/>
  <c r="AT136" i="6"/>
  <c r="U79" i="6"/>
  <c r="W126" i="6"/>
  <c r="X126" i="6" s="1"/>
  <c r="AT91" i="6"/>
  <c r="AT89" i="8"/>
  <c r="AT19" i="8"/>
  <c r="AT29" i="8"/>
  <c r="AT113" i="8"/>
  <c r="W154" i="8"/>
  <c r="AE154" i="8" s="1"/>
  <c r="W92" i="8"/>
  <c r="Y92" i="8" s="1"/>
  <c r="AR92" i="8" s="1"/>
  <c r="W36" i="8"/>
  <c r="AT157" i="8"/>
  <c r="AT44" i="8"/>
  <c r="AT69" i="8"/>
  <c r="P408" i="5"/>
  <c r="Q408" i="5" s="1"/>
  <c r="AT21" i="6"/>
  <c r="AT153" i="6"/>
  <c r="AT34" i="6"/>
  <c r="AT141" i="8"/>
  <c r="AT58" i="8"/>
  <c r="P530" i="5"/>
  <c r="R530" i="5" s="1"/>
  <c r="P373" i="5"/>
  <c r="P72" i="5"/>
  <c r="Q72" i="5" s="1"/>
  <c r="P43" i="5"/>
  <c r="R43" i="5" s="1"/>
  <c r="AT99" i="6"/>
  <c r="AT79" i="6"/>
  <c r="AT124" i="6"/>
  <c r="AT126" i="6"/>
  <c r="AT147" i="6"/>
  <c r="AT12" i="6"/>
  <c r="AT107" i="8"/>
  <c r="U50" i="8"/>
  <c r="W8" i="8"/>
  <c r="Y8" i="8" s="1"/>
  <c r="AR8" i="8" s="1"/>
  <c r="W113" i="8"/>
  <c r="Y113" i="8" s="1"/>
  <c r="AR113" i="8" s="1"/>
  <c r="AT154" i="8"/>
  <c r="AT92" i="8"/>
  <c r="AT96" i="8"/>
  <c r="AT103" i="8"/>
  <c r="U36" i="8"/>
  <c r="U61" i="8"/>
  <c r="U150" i="8"/>
  <c r="AA150" i="8" s="1"/>
  <c r="U124" i="8"/>
  <c r="AE124" i="8" s="1"/>
  <c r="AT47" i="8"/>
  <c r="AT26" i="8"/>
  <c r="AT16" i="8"/>
  <c r="W75" i="8"/>
  <c r="Y75" i="8" s="1"/>
  <c r="AR75" i="8" s="1"/>
  <c r="U17" i="8"/>
  <c r="U75" i="8"/>
  <c r="AT61" i="8"/>
  <c r="W150" i="8"/>
  <c r="Y150" i="8" s="1"/>
  <c r="AR150" i="8" s="1"/>
  <c r="U131" i="8"/>
  <c r="W124" i="8"/>
  <c r="W104" i="8"/>
  <c r="X104" i="8" s="1"/>
  <c r="W47" i="8"/>
  <c r="X47" i="8" s="1"/>
  <c r="U77" i="8"/>
  <c r="AT75" i="8"/>
  <c r="W17" i="8"/>
  <c r="X17" i="8" s="1"/>
  <c r="AT150" i="8"/>
  <c r="W131" i="8"/>
  <c r="Y131" i="8" s="1"/>
  <c r="AR131" i="8" s="1"/>
  <c r="AT124" i="8"/>
  <c r="U104" i="8"/>
  <c r="U34" i="8"/>
  <c r="W12" i="8"/>
  <c r="Y12" i="8" s="1"/>
  <c r="AR12" i="8" s="1"/>
  <c r="U116" i="8"/>
  <c r="W68" i="8"/>
  <c r="Y68" i="8" s="1"/>
  <c r="AR68" i="8" s="1"/>
  <c r="AT17" i="8"/>
  <c r="U100" i="8"/>
  <c r="AT104" i="8"/>
  <c r="U12" i="8"/>
  <c r="AT131" i="8"/>
  <c r="W34" i="8"/>
  <c r="Y34" i="8" s="1"/>
  <c r="AR34" i="8" s="1"/>
  <c r="W100" i="8"/>
  <c r="Y100" i="8" s="1"/>
  <c r="AR100" i="8" s="1"/>
  <c r="AT34" i="8"/>
  <c r="W10" i="8"/>
  <c r="Y10" i="8" s="1"/>
  <c r="AR10" i="8" s="1"/>
  <c r="AT12" i="8"/>
  <c r="AT10" i="8"/>
  <c r="AT100" i="8"/>
  <c r="W153" i="8"/>
  <c r="X153" i="8" s="1"/>
  <c r="U153" i="8"/>
  <c r="U26" i="8"/>
  <c r="U10" i="8"/>
  <c r="U16" i="8"/>
  <c r="U97" i="8"/>
  <c r="U73" i="8"/>
  <c r="W97" i="8"/>
  <c r="U147" i="8"/>
  <c r="W73" i="8"/>
  <c r="W37" i="8"/>
  <c r="Y37" i="8" s="1"/>
  <c r="AR37" i="8" s="1"/>
  <c r="AT97" i="8"/>
  <c r="W14" i="8"/>
  <c r="Y14" i="8" s="1"/>
  <c r="AR14" i="8" s="1"/>
  <c r="W147" i="8"/>
  <c r="Y147" i="8" s="1"/>
  <c r="AR147" i="8" s="1"/>
  <c r="AT73" i="8"/>
  <c r="AT37" i="8"/>
  <c r="AT147" i="8"/>
  <c r="U33" i="8"/>
  <c r="W33" i="8"/>
  <c r="Y33" i="8" s="1"/>
  <c r="AR33" i="8" s="1"/>
  <c r="W83" i="8"/>
  <c r="U156" i="8"/>
  <c r="W46" i="8"/>
  <c r="Y46" i="8" s="1"/>
  <c r="AR46" i="8" s="1"/>
  <c r="AT33" i="8"/>
  <c r="U83" i="8"/>
  <c r="BD10" i="5"/>
  <c r="W156" i="8"/>
  <c r="X156" i="8" s="1"/>
  <c r="U37" i="8"/>
  <c r="U46" i="8"/>
  <c r="AT14" i="8"/>
  <c r="AT109" i="8"/>
  <c r="W69" i="8"/>
  <c r="Y69" i="8" s="1"/>
  <c r="AR69" i="8" s="1"/>
  <c r="U93" i="8"/>
  <c r="AT46" i="8"/>
  <c r="U149" i="8"/>
  <c r="AT93" i="8"/>
  <c r="U54" i="8"/>
  <c r="W149" i="8"/>
  <c r="Y149" i="8" s="1"/>
  <c r="AR149" i="8" s="1"/>
  <c r="W93" i="8"/>
  <c r="Y93" i="8" s="1"/>
  <c r="AR93" i="8" s="1"/>
  <c r="AT54" i="8"/>
  <c r="U81" i="8"/>
  <c r="W81" i="8"/>
  <c r="U14" i="8"/>
  <c r="U103" i="6"/>
  <c r="AT97" i="6"/>
  <c r="U49" i="6"/>
  <c r="AT49" i="6"/>
  <c r="U97" i="6"/>
  <c r="U68" i="6"/>
  <c r="AT68" i="6"/>
  <c r="U132" i="8"/>
  <c r="AT117" i="8"/>
  <c r="AT13" i="8"/>
  <c r="U133" i="8"/>
  <c r="W70" i="8"/>
  <c r="W101" i="8"/>
  <c r="Y101" i="8" s="1"/>
  <c r="AR101" i="8" s="1"/>
  <c r="U76" i="8"/>
  <c r="U28" i="8"/>
  <c r="W108" i="8"/>
  <c r="AE108" i="8" s="1"/>
  <c r="W132" i="8"/>
  <c r="X132" i="8" s="1"/>
  <c r="W133" i="8"/>
  <c r="Y133" i="8" s="1"/>
  <c r="AR133" i="8" s="1"/>
  <c r="U70" i="8"/>
  <c r="AT101" i="8"/>
  <c r="AT76" i="8"/>
  <c r="AT45" i="8"/>
  <c r="U89" i="8"/>
  <c r="W22" i="8"/>
  <c r="U105" i="8"/>
  <c r="W139" i="8"/>
  <c r="W78" i="8"/>
  <c r="Y78" i="8" s="1"/>
  <c r="AR78" i="8" s="1"/>
  <c r="AT116" i="8"/>
  <c r="W89" i="8"/>
  <c r="Y89" i="8" s="1"/>
  <c r="AR89" i="8" s="1"/>
  <c r="AT22" i="8"/>
  <c r="W105" i="8"/>
  <c r="Y105" i="8" s="1"/>
  <c r="AR105" i="8" s="1"/>
  <c r="U157" i="8"/>
  <c r="AT139" i="8"/>
  <c r="U51" i="8"/>
  <c r="AE51" i="8" s="1"/>
  <c r="U125" i="8"/>
  <c r="U30" i="8"/>
  <c r="U86" i="8"/>
  <c r="AT78" i="8"/>
  <c r="AT149" i="8"/>
  <c r="U68" i="8"/>
  <c r="W30" i="8"/>
  <c r="W121" i="8"/>
  <c r="X121" i="8" s="1"/>
  <c r="AT30" i="8"/>
  <c r="U121" i="8"/>
  <c r="AT68" i="8"/>
  <c r="U59" i="8"/>
  <c r="AT142" i="8"/>
  <c r="W20" i="8"/>
  <c r="Y20" i="8" s="1"/>
  <c r="AR20" i="8" s="1"/>
  <c r="AT121" i="8"/>
  <c r="AT49" i="8"/>
  <c r="U69" i="8"/>
  <c r="W59" i="8"/>
  <c r="Y59" i="8" s="1"/>
  <c r="AR59" i="8" s="1"/>
  <c r="U115" i="8"/>
  <c r="U134" i="8"/>
  <c r="U25" i="8"/>
  <c r="AT59" i="8"/>
  <c r="U109" i="8"/>
  <c r="AT115" i="8"/>
  <c r="W25" i="8"/>
  <c r="Y25" i="8" s="1"/>
  <c r="AR25" i="8" s="1"/>
  <c r="W109" i="8"/>
  <c r="Y109" i="8" s="1"/>
  <c r="AR109" i="8" s="1"/>
  <c r="W115" i="8"/>
  <c r="X115" i="8" s="1"/>
  <c r="U78" i="8"/>
  <c r="W110" i="8"/>
  <c r="X110" i="8" s="1"/>
  <c r="AT25" i="8"/>
  <c r="O15" i="5"/>
  <c r="W71" i="6"/>
  <c r="X71" i="6" s="1"/>
  <c r="U23" i="6"/>
  <c r="U124" i="6"/>
  <c r="AT45" i="6"/>
  <c r="AT42" i="6"/>
  <c r="AT53" i="6"/>
  <c r="W16" i="6"/>
  <c r="Y16" i="6" s="1"/>
  <c r="AR16" i="6" s="1"/>
  <c r="U128" i="6"/>
  <c r="U20" i="6"/>
  <c r="AE20" i="6" s="1"/>
  <c r="U8" i="6"/>
  <c r="U74" i="6"/>
  <c r="U21" i="6"/>
  <c r="AT16" i="6"/>
  <c r="U153" i="6"/>
  <c r="AE153" i="6" s="1"/>
  <c r="U31" i="6"/>
  <c r="U111" i="6"/>
  <c r="W134" i="6"/>
  <c r="X134" i="6" s="1"/>
  <c r="U58" i="6"/>
  <c r="W65" i="6"/>
  <c r="X65" i="6" s="1"/>
  <c r="AT107" i="6"/>
  <c r="AT157" i="6"/>
  <c r="U42" i="6"/>
  <c r="U84" i="8"/>
  <c r="AT77" i="8"/>
  <c r="W28" i="8"/>
  <c r="W84" i="8"/>
  <c r="Y84" i="8" s="1"/>
  <c r="AR84" i="8" s="1"/>
  <c r="W77" i="8"/>
  <c r="Y77" i="8" s="1"/>
  <c r="AR77" i="8" s="1"/>
  <c r="AT28" i="8"/>
  <c r="AT84" i="8"/>
  <c r="AT38" i="8"/>
  <c r="U140" i="8"/>
  <c r="W140" i="8"/>
  <c r="Y140" i="8" s="1"/>
  <c r="AR140" i="8" s="1"/>
  <c r="U21" i="8"/>
  <c r="AT140" i="8"/>
  <c r="W21" i="8"/>
  <c r="Y21" i="8" s="1"/>
  <c r="AR21" i="8" s="1"/>
  <c r="AT21" i="8"/>
  <c r="P30" i="5"/>
  <c r="R30" i="5" s="1"/>
  <c r="P244" i="5"/>
  <c r="Q244" i="5" s="1"/>
  <c r="P84" i="5"/>
  <c r="P115" i="5"/>
  <c r="W53" i="6"/>
  <c r="X53" i="6" s="1"/>
  <c r="AJ53" i="6" s="1"/>
  <c r="W103" i="6"/>
  <c r="X103" i="6" s="1"/>
  <c r="W73" i="6"/>
  <c r="X73" i="6" s="1"/>
  <c r="W23" i="6"/>
  <c r="Y23" i="6" s="1"/>
  <c r="AR23" i="6" s="1"/>
  <c r="W58" i="6"/>
  <c r="X58" i="6" s="1"/>
  <c r="W72" i="6"/>
  <c r="X72" i="6" s="1"/>
  <c r="AJ72" i="6" s="1"/>
  <c r="W32" i="6"/>
  <c r="Y32" i="6" s="1"/>
  <c r="W112" i="6"/>
  <c r="X112" i="6" s="1"/>
  <c r="P484" i="5"/>
  <c r="R484" i="5" s="1"/>
  <c r="P489" i="5"/>
  <c r="R489" i="5" s="1"/>
  <c r="P444" i="5"/>
  <c r="Q444" i="5" s="1"/>
  <c r="P298" i="5"/>
  <c r="Q298" i="5" s="1"/>
  <c r="P260" i="5"/>
  <c r="Q260" i="5" s="1"/>
  <c r="P70" i="5"/>
  <c r="P93" i="5"/>
  <c r="R93" i="5" s="1"/>
  <c r="P308" i="5"/>
  <c r="Q308" i="5" s="1"/>
  <c r="P485" i="5"/>
  <c r="R485" i="5" s="1"/>
  <c r="P191" i="5"/>
  <c r="P46" i="5"/>
  <c r="R46" i="5" s="1"/>
  <c r="P236" i="5"/>
  <c r="R236" i="5" s="1"/>
  <c r="P59" i="5"/>
  <c r="Q59" i="5" s="1"/>
  <c r="P95" i="5"/>
  <c r="R95" i="5" s="1"/>
  <c r="W54" i="8"/>
  <c r="Y54" i="8" s="1"/>
  <c r="AR54" i="8" s="1"/>
  <c r="P164" i="5"/>
  <c r="R164" i="5" s="1"/>
  <c r="P64" i="5"/>
  <c r="R64" i="5" s="1"/>
  <c r="P441" i="5"/>
  <c r="W68" i="6"/>
  <c r="X68" i="6" s="1"/>
  <c r="W97" i="6"/>
  <c r="X97" i="6" s="1"/>
  <c r="AJ97" i="6" s="1"/>
  <c r="W49" i="6"/>
  <c r="X49" i="6" s="1"/>
  <c r="W142" i="8"/>
  <c r="Y142" i="8" s="1"/>
  <c r="AR142" i="8" s="1"/>
  <c r="U50" i="6"/>
  <c r="U85" i="6"/>
  <c r="W61" i="6"/>
  <c r="X61" i="6" s="1"/>
  <c r="AJ61" i="6" s="1"/>
  <c r="U115" i="6"/>
  <c r="U131" i="6"/>
  <c r="U113" i="6"/>
  <c r="AE113" i="6" s="1"/>
  <c r="AT61" i="6"/>
  <c r="W137" i="6"/>
  <c r="X137" i="6" s="1"/>
  <c r="W131" i="6"/>
  <c r="X131" i="6" s="1"/>
  <c r="AT125" i="6"/>
  <c r="AT57" i="6"/>
  <c r="U12" i="6"/>
  <c r="AT138" i="6"/>
  <c r="W12" i="6"/>
  <c r="Y12" i="6" s="1"/>
  <c r="AR12" i="6" s="1"/>
  <c r="W66" i="6"/>
  <c r="X66" i="6" s="1"/>
  <c r="W8" i="6"/>
  <c r="Y8" i="6" s="1"/>
  <c r="AR8" i="6" s="1"/>
  <c r="W74" i="6"/>
  <c r="X74" i="6" s="1"/>
  <c r="U116" i="6"/>
  <c r="U142" i="6"/>
  <c r="AT66" i="6"/>
  <c r="AT74" i="6"/>
  <c r="AT142" i="6"/>
  <c r="AT8" i="6"/>
  <c r="W127" i="6"/>
  <c r="X127" i="6" s="1"/>
  <c r="W101" i="6"/>
  <c r="X101" i="6" s="1"/>
  <c r="AT116" i="6"/>
  <c r="U24" i="6"/>
  <c r="W116" i="6"/>
  <c r="X116" i="6" s="1"/>
  <c r="U33" i="6"/>
  <c r="U101" i="6"/>
  <c r="U10" i="6"/>
  <c r="U148" i="6"/>
  <c r="B31" i="5"/>
  <c r="W33" i="6"/>
  <c r="Y33" i="6" s="1"/>
  <c r="AR33" i="6" s="1"/>
  <c r="W10" i="6"/>
  <c r="Y10" i="6" s="1"/>
  <c r="AR10" i="6" s="1"/>
  <c r="U107" i="6"/>
  <c r="U17" i="6"/>
  <c r="AT148" i="6"/>
  <c r="AT33" i="6"/>
  <c r="U45" i="6"/>
  <c r="AT10" i="6"/>
  <c r="W107" i="6"/>
  <c r="X107" i="6" s="1"/>
  <c r="AT17" i="6"/>
  <c r="U157" i="6"/>
  <c r="W45" i="6"/>
  <c r="X45" i="6" s="1"/>
  <c r="U75" i="6"/>
  <c r="W104" i="6"/>
  <c r="X104" i="6" s="1"/>
  <c r="AT75" i="6"/>
  <c r="U76" i="6"/>
  <c r="AT101" i="6"/>
  <c r="W157" i="6"/>
  <c r="X157" i="6" s="1"/>
  <c r="U104" i="6"/>
  <c r="AT76" i="6"/>
  <c r="AT24" i="6"/>
  <c r="W142" i="6"/>
  <c r="X142" i="6" s="1"/>
  <c r="U127" i="6"/>
  <c r="U66" i="6"/>
  <c r="W17" i="6"/>
  <c r="Y17" i="6" s="1"/>
  <c r="AR17" i="6" s="1"/>
  <c r="W148" i="6"/>
  <c r="X148" i="6" s="1"/>
  <c r="AT127" i="6"/>
  <c r="W75" i="6"/>
  <c r="X75" i="6" s="1"/>
  <c r="W114" i="6"/>
  <c r="X114" i="6" s="1"/>
  <c r="U133" i="6"/>
  <c r="U27" i="6"/>
  <c r="U26" i="6"/>
  <c r="AT51" i="6"/>
  <c r="U87" i="6"/>
  <c r="U57" i="6"/>
  <c r="W84" i="6"/>
  <c r="X84" i="6" s="1"/>
  <c r="U9" i="6"/>
  <c r="AT38" i="6"/>
  <c r="AT84" i="6"/>
  <c r="AT114" i="6"/>
  <c r="W57" i="6"/>
  <c r="X57" i="6" s="1"/>
  <c r="AT122" i="6"/>
  <c r="U129" i="6"/>
  <c r="W9" i="6"/>
  <c r="Y9" i="6" s="1"/>
  <c r="AR9" i="6" s="1"/>
  <c r="W26" i="6"/>
  <c r="Y26" i="6" s="1"/>
  <c r="AR26" i="6" s="1"/>
  <c r="AT106" i="6"/>
  <c r="U93" i="6"/>
  <c r="W133" i="6"/>
  <c r="X133" i="6" s="1"/>
  <c r="AT121" i="6"/>
  <c r="W27" i="6"/>
  <c r="Y27" i="6" s="1"/>
  <c r="AR27" i="6" s="1"/>
  <c r="W129" i="6"/>
  <c r="X129" i="6" s="1"/>
  <c r="AT9" i="6"/>
  <c r="U102" i="6"/>
  <c r="AT26" i="6"/>
  <c r="U37" i="6"/>
  <c r="W93" i="6"/>
  <c r="X93" i="6" s="1"/>
  <c r="AT133" i="6"/>
  <c r="AT129" i="6"/>
  <c r="AT102" i="6"/>
  <c r="U14" i="6"/>
  <c r="W37" i="6"/>
  <c r="X37" i="6" s="1"/>
  <c r="AT93" i="6"/>
  <c r="U120" i="6"/>
  <c r="U118" i="6"/>
  <c r="AT80" i="6"/>
  <c r="U51" i="6"/>
  <c r="AT14" i="6"/>
  <c r="AT37" i="6"/>
  <c r="U149" i="6"/>
  <c r="U30" i="6"/>
  <c r="W120" i="6"/>
  <c r="X120" i="6" s="1"/>
  <c r="W118" i="6"/>
  <c r="X118" i="6" s="1"/>
  <c r="W51" i="6"/>
  <c r="X51" i="6" s="1"/>
  <c r="AT154" i="6"/>
  <c r="AT149" i="6"/>
  <c r="W30" i="6"/>
  <c r="Y30" i="6" s="1"/>
  <c r="AR30" i="6" s="1"/>
  <c r="U114" i="6"/>
  <c r="AE114" i="6" s="1"/>
  <c r="AT46" i="6"/>
  <c r="U122" i="6"/>
  <c r="AT29" i="6"/>
  <c r="W24" i="6"/>
  <c r="Y24" i="6" s="1"/>
  <c r="AR24" i="6" s="1"/>
  <c r="W38" i="6"/>
  <c r="X38" i="6" s="1"/>
  <c r="AT54" i="6"/>
  <c r="AT104" i="6"/>
  <c r="W83" i="6"/>
  <c r="X83" i="6" s="1"/>
  <c r="AJ83" i="6" s="1"/>
  <c r="U86" i="6"/>
  <c r="AT69" i="6"/>
  <c r="U110" i="6"/>
  <c r="W110" i="6"/>
  <c r="X110" i="6" s="1"/>
  <c r="U140" i="6"/>
  <c r="AT86" i="6"/>
  <c r="U80" i="6"/>
  <c r="W87" i="6"/>
  <c r="X87" i="6" s="1"/>
  <c r="U59" i="6"/>
  <c r="U154" i="6"/>
  <c r="U146" i="6"/>
  <c r="AT30" i="6"/>
  <c r="W140" i="6"/>
  <c r="X140" i="6" s="1"/>
  <c r="U106" i="6"/>
  <c r="W50" i="6"/>
  <c r="X50" i="6" s="1"/>
  <c r="AJ50" i="6" s="1"/>
  <c r="U78" i="6"/>
  <c r="AT120" i="6"/>
  <c r="AT27" i="6"/>
  <c r="W76" i="6"/>
  <c r="X76" i="6" s="1"/>
  <c r="U62" i="6"/>
  <c r="U43" i="6"/>
  <c r="W80" i="6"/>
  <c r="X80" i="6" s="1"/>
  <c r="AT87" i="6"/>
  <c r="W154" i="6"/>
  <c r="X154" i="6" s="1"/>
  <c r="W146" i="6"/>
  <c r="X146" i="6" s="1"/>
  <c r="AT140" i="6"/>
  <c r="W106" i="6"/>
  <c r="X106" i="6" s="1"/>
  <c r="U38" i="6"/>
  <c r="AT50" i="6"/>
  <c r="W78" i="6"/>
  <c r="X78" i="6" s="1"/>
  <c r="W119" i="6"/>
  <c r="X119" i="6" s="1"/>
  <c r="W62" i="6"/>
  <c r="X62" i="6" s="1"/>
  <c r="W43" i="6"/>
  <c r="X43" i="6" s="1"/>
  <c r="AT146" i="6"/>
  <c r="AT78" i="6"/>
  <c r="AT119" i="6"/>
  <c r="U130" i="6"/>
  <c r="AT62" i="6"/>
  <c r="AT43" i="6"/>
  <c r="U34" i="6"/>
  <c r="W130" i="6"/>
  <c r="X130" i="6" s="1"/>
  <c r="W34" i="6"/>
  <c r="Y34" i="6" s="1"/>
  <c r="AR34" i="6" s="1"/>
  <c r="AT81" i="6"/>
  <c r="U46" i="6"/>
  <c r="U121" i="6"/>
  <c r="U156" i="6"/>
  <c r="W139" i="6"/>
  <c r="X139" i="6" s="1"/>
  <c r="U36" i="6"/>
  <c r="U88" i="6"/>
  <c r="W59" i="6"/>
  <c r="X59" i="6" s="1"/>
  <c r="W156" i="6"/>
  <c r="X156" i="6" s="1"/>
  <c r="AT110" i="6"/>
  <c r="W13" i="6"/>
  <c r="Y13" i="6" s="1"/>
  <c r="AR13" i="6" s="1"/>
  <c r="W36" i="6"/>
  <c r="Y36" i="6" s="1"/>
  <c r="AR36" i="6" s="1"/>
  <c r="W88" i="6"/>
  <c r="X88" i="6" s="1"/>
  <c r="AT59" i="6"/>
  <c r="U22" i="6"/>
  <c r="AT156" i="6"/>
  <c r="AT85" i="6"/>
  <c r="AT83" i="6"/>
  <c r="Y262" i="5"/>
  <c r="Z262" i="5" s="1"/>
  <c r="W150" i="6"/>
  <c r="X150" i="6" s="1"/>
  <c r="U81" i="6"/>
  <c r="AT36" i="6"/>
  <c r="AT88" i="6"/>
  <c r="W63" i="6"/>
  <c r="X63" i="6" s="1"/>
  <c r="W81" i="6"/>
  <c r="X81" i="6" s="1"/>
  <c r="U100" i="6"/>
  <c r="U90" i="6"/>
  <c r="U139" i="6"/>
  <c r="AT139" i="6"/>
  <c r="U119" i="6"/>
  <c r="W86" i="6"/>
  <c r="X86" i="6" s="1"/>
  <c r="W69" i="6"/>
  <c r="X69" i="6" s="1"/>
  <c r="AJ69" i="6" s="1"/>
  <c r="B169" i="3"/>
  <c r="B170" i="3" s="1"/>
  <c r="B171" i="3" s="1"/>
  <c r="B175" i="3" s="1"/>
  <c r="U18" i="6"/>
  <c r="U60" i="6"/>
  <c r="AT18" i="6"/>
  <c r="U29" i="6"/>
  <c r="U25" i="6"/>
  <c r="U117" i="6"/>
  <c r="AT60" i="6"/>
  <c r="U105" i="6"/>
  <c r="AT105" i="6"/>
  <c r="AT70" i="6"/>
  <c r="Y283" i="5"/>
  <c r="Z283" i="5" s="1"/>
  <c r="W18" i="6"/>
  <c r="Y18" i="6" s="1"/>
  <c r="AR18" i="6" s="1"/>
  <c r="W128" i="6"/>
  <c r="X128" i="6" s="1"/>
  <c r="W99" i="6"/>
  <c r="X99" i="6" s="1"/>
  <c r="W92" i="6"/>
  <c r="X92" i="6" s="1"/>
  <c r="W60" i="6"/>
  <c r="X60" i="6" s="1"/>
  <c r="W55" i="6"/>
  <c r="X55" i="6" s="1"/>
  <c r="W67" i="6"/>
  <c r="X67" i="6" s="1"/>
  <c r="AJ67" i="6" s="1"/>
  <c r="W105" i="6"/>
  <c r="X105" i="6" s="1"/>
  <c r="P516" i="5"/>
  <c r="Q516" i="5" s="1"/>
  <c r="P211" i="5"/>
  <c r="R211" i="5" s="1"/>
  <c r="P355" i="5"/>
  <c r="R355" i="5" s="1"/>
  <c r="P400" i="5"/>
  <c r="P68" i="5"/>
  <c r="Q68" i="5" s="1"/>
  <c r="P162" i="5"/>
  <c r="Q162" i="5" s="1"/>
  <c r="P135" i="5"/>
  <c r="Q135" i="5" s="1"/>
  <c r="P506" i="5"/>
  <c r="R506" i="5" s="1"/>
  <c r="W79" i="6"/>
  <c r="X79" i="6" s="1"/>
  <c r="W29" i="6"/>
  <c r="Y29" i="6" s="1"/>
  <c r="AR29" i="6" s="1"/>
  <c r="W70" i="6"/>
  <c r="X70" i="6" s="1"/>
  <c r="AJ70" i="6" s="1"/>
  <c r="W126" i="8"/>
  <c r="X126" i="8" s="1"/>
  <c r="W28" i="6"/>
  <c r="Y28" i="6" s="1"/>
  <c r="AR28" i="6" s="1"/>
  <c r="W25" i="6"/>
  <c r="Y25" i="6" s="1"/>
  <c r="AR25" i="6" s="1"/>
  <c r="P411" i="5"/>
  <c r="Q411" i="5" s="1"/>
  <c r="P125" i="5"/>
  <c r="R125" i="5" s="1"/>
  <c r="P126" i="5"/>
  <c r="Q126" i="5" s="1"/>
  <c r="P217" i="5"/>
  <c r="R217" i="5" s="1"/>
  <c r="P118" i="5"/>
  <c r="Q118" i="5" s="1"/>
  <c r="P90" i="5"/>
  <c r="Q90" i="5" s="1"/>
  <c r="P457" i="5"/>
  <c r="P341" i="5"/>
  <c r="Q341" i="5" s="1"/>
  <c r="W117" i="6"/>
  <c r="X117" i="6" s="1"/>
  <c r="W54" i="6"/>
  <c r="X54" i="6" s="1"/>
  <c r="AJ54" i="6" s="1"/>
  <c r="AT134" i="8"/>
  <c r="U110" i="8"/>
  <c r="AT110" i="8"/>
  <c r="U94" i="8"/>
  <c r="Y331" i="5"/>
  <c r="AA331" i="5" s="1"/>
  <c r="Y106" i="5"/>
  <c r="Z106" i="5" s="1"/>
  <c r="Y522" i="5"/>
  <c r="AA522" i="5" s="1"/>
  <c r="Y131" i="5"/>
  <c r="Z131" i="5" s="1"/>
  <c r="Y8" i="5"/>
  <c r="AA8" i="5" s="1"/>
  <c r="Y493" i="5"/>
  <c r="AA493" i="5" s="1"/>
  <c r="Y452" i="5"/>
  <c r="Z452" i="5" s="1"/>
  <c r="Y107" i="5"/>
  <c r="Z107" i="5" s="1"/>
  <c r="Y232" i="5"/>
  <c r="Z232" i="5" s="1"/>
  <c r="Y248" i="5"/>
  <c r="Y240" i="5"/>
  <c r="Z240" i="5" s="1"/>
  <c r="Y491" i="5"/>
  <c r="AA491" i="5" s="1"/>
  <c r="Y170" i="5"/>
  <c r="AA170" i="5" s="1"/>
  <c r="Y142" i="5"/>
  <c r="Z142" i="5" s="1"/>
  <c r="Y547" i="5"/>
  <c r="AA547" i="5" s="1"/>
  <c r="Y500" i="5"/>
  <c r="AA500" i="5" s="1"/>
  <c r="W94" i="8"/>
  <c r="P543" i="5"/>
  <c r="Q543" i="5" s="1"/>
  <c r="P424" i="5"/>
  <c r="Q424" i="5" s="1"/>
  <c r="P386" i="5"/>
  <c r="R386" i="5" s="1"/>
  <c r="P255" i="5"/>
  <c r="Q255" i="5" s="1"/>
  <c r="P363" i="5"/>
  <c r="R363" i="5" s="1"/>
  <c r="P402" i="5"/>
  <c r="R402" i="5" s="1"/>
  <c r="P75" i="5"/>
  <c r="R75" i="5" s="1"/>
  <c r="P204" i="5"/>
  <c r="R204" i="5" s="1"/>
  <c r="P29" i="5"/>
  <c r="R29" i="5" s="1"/>
  <c r="P89" i="5"/>
  <c r="Q89" i="5" s="1"/>
  <c r="P277" i="5"/>
  <c r="R277" i="5" s="1"/>
  <c r="P79" i="5"/>
  <c r="Q79" i="5" s="1"/>
  <c r="P254" i="5"/>
  <c r="R254" i="5" s="1"/>
  <c r="P514" i="5"/>
  <c r="Q514" i="5" s="1"/>
  <c r="P559" i="5"/>
  <c r="R559" i="5" s="1"/>
  <c r="P332" i="5"/>
  <c r="Q332" i="5" s="1"/>
  <c r="P282" i="5"/>
  <c r="R282" i="5" s="1"/>
  <c r="P269" i="5"/>
  <c r="Q269" i="5" s="1"/>
  <c r="P374" i="5"/>
  <c r="Q374" i="5" s="1"/>
  <c r="P199" i="5"/>
  <c r="R199" i="5" s="1"/>
  <c r="P242" i="5"/>
  <c r="R242" i="5" s="1"/>
  <c r="P116" i="5"/>
  <c r="Q116" i="5" s="1"/>
  <c r="P22" i="5"/>
  <c r="R22" i="5" s="1"/>
  <c r="P80" i="5"/>
  <c r="P262" i="5"/>
  <c r="P56" i="5"/>
  <c r="Q56" i="5" s="1"/>
  <c r="P128" i="5"/>
  <c r="R128" i="5" s="1"/>
  <c r="P549" i="5"/>
  <c r="R549" i="5" s="1"/>
  <c r="P130" i="5"/>
  <c r="Q130" i="5" s="1"/>
  <c r="P87" i="5"/>
  <c r="R87" i="5" s="1"/>
  <c r="P139" i="5"/>
  <c r="R139" i="5" s="1"/>
  <c r="P140" i="5"/>
  <c r="Q140" i="5" s="1"/>
  <c r="P368" i="5"/>
  <c r="R368" i="5" s="1"/>
  <c r="P560" i="5"/>
  <c r="R560" i="5" s="1"/>
  <c r="P534" i="5"/>
  <c r="R534" i="5" s="1"/>
  <c r="P100" i="5"/>
  <c r="Q100" i="5" s="1"/>
  <c r="P297" i="5"/>
  <c r="Q297" i="5" s="1"/>
  <c r="P240" i="5"/>
  <c r="R240" i="5" s="1"/>
  <c r="P53" i="5"/>
  <c r="Q53" i="5" s="1"/>
  <c r="P114" i="5"/>
  <c r="Q114" i="5" s="1"/>
  <c r="P27" i="5"/>
  <c r="R27" i="5" s="1"/>
  <c r="P207" i="5"/>
  <c r="Q207" i="5" s="1"/>
  <c r="P113" i="5"/>
  <c r="Q113" i="5" s="1"/>
  <c r="P34" i="5"/>
  <c r="R34" i="5" s="1"/>
  <c r="P157" i="5"/>
  <c r="R157" i="5" s="1"/>
  <c r="P194" i="5"/>
  <c r="R194" i="5" s="1"/>
  <c r="P361" i="5"/>
  <c r="Q361" i="5" s="1"/>
  <c r="U144" i="6"/>
  <c r="W155" i="6"/>
  <c r="X155" i="6" s="1"/>
  <c r="U151" i="6"/>
  <c r="W85" i="6"/>
  <c r="X85" i="6" s="1"/>
  <c r="AT64" i="6"/>
  <c r="Y362" i="5"/>
  <c r="AA362" i="5" s="1"/>
  <c r="Y509" i="5"/>
  <c r="AA509" i="5" s="1"/>
  <c r="Y79" i="5"/>
  <c r="Z79" i="5" s="1"/>
  <c r="Y512" i="5"/>
  <c r="Z512" i="5" s="1"/>
  <c r="Y250" i="5"/>
  <c r="Z250" i="5" s="1"/>
  <c r="Y226" i="5"/>
  <c r="AA226" i="5" s="1"/>
  <c r="Y215" i="5"/>
  <c r="Z215" i="5" s="1"/>
  <c r="Y20" i="5"/>
  <c r="AA20" i="5" s="1"/>
  <c r="Y261" i="5"/>
  <c r="AA261" i="5" s="1"/>
  <c r="Y375" i="5"/>
  <c r="Z375" i="5" s="1"/>
  <c r="Y229" i="5"/>
  <c r="AA229" i="5" s="1"/>
  <c r="Y281" i="5"/>
  <c r="Z281" i="5" s="1"/>
  <c r="Y96" i="5"/>
  <c r="Z96" i="5" s="1"/>
  <c r="Y379" i="5"/>
  <c r="AA379" i="5" s="1"/>
  <c r="Y45" i="5"/>
  <c r="AA45" i="5" s="1"/>
  <c r="Y560" i="5"/>
  <c r="AA560" i="5" s="1"/>
  <c r="Y306" i="5"/>
  <c r="AA306" i="5" s="1"/>
  <c r="AT41" i="6"/>
  <c r="Y314" i="5"/>
  <c r="Z314" i="5" s="1"/>
  <c r="Y556" i="5"/>
  <c r="Z556" i="5" s="1"/>
  <c r="Y510" i="5"/>
  <c r="Y292" i="5"/>
  <c r="AA292" i="5" s="1"/>
  <c r="Y177" i="5"/>
  <c r="AA177" i="5" s="1"/>
  <c r="Y296" i="5"/>
  <c r="AA296" i="5" s="1"/>
  <c r="Y167" i="5"/>
  <c r="AA167" i="5" s="1"/>
  <c r="Y246" i="5"/>
  <c r="Y282" i="5"/>
  <c r="Y24" i="5"/>
  <c r="Y197" i="5"/>
  <c r="Y315" i="5"/>
  <c r="Y236" i="5"/>
  <c r="AA236" i="5" s="1"/>
  <c r="Y163" i="5"/>
  <c r="Y528" i="5"/>
  <c r="Y441" i="5"/>
  <c r="Y403" i="5"/>
  <c r="Z52" i="5"/>
  <c r="U152" i="6"/>
  <c r="Y479" i="5"/>
  <c r="Z479" i="5" s="1"/>
  <c r="Y205" i="5"/>
  <c r="Z205" i="5" s="1"/>
  <c r="Y428" i="5"/>
  <c r="AA428" i="5" s="1"/>
  <c r="Y553" i="5"/>
  <c r="Z553" i="5" s="1"/>
  <c r="Y171" i="5"/>
  <c r="Z171" i="5" s="1"/>
  <c r="Y537" i="5"/>
  <c r="AA537" i="5" s="1"/>
  <c r="Y316" i="5"/>
  <c r="Z316" i="5" s="1"/>
  <c r="Y456" i="5"/>
  <c r="Z456" i="5" s="1"/>
  <c r="Y551" i="5"/>
  <c r="AA551" i="5" s="1"/>
  <c r="Y396" i="5"/>
  <c r="Z396" i="5" s="1"/>
  <c r="Y63" i="5"/>
  <c r="Z63" i="5" s="1"/>
  <c r="Y471" i="5"/>
  <c r="AA471" i="5" s="1"/>
  <c r="Y274" i="5"/>
  <c r="AA274" i="5" s="1"/>
  <c r="Y555" i="5"/>
  <c r="Z555" i="5" s="1"/>
  <c r="Y147" i="5"/>
  <c r="AA147" i="5" s="1"/>
  <c r="Y439" i="5"/>
  <c r="AA439" i="5" s="1"/>
  <c r="Y477" i="5"/>
  <c r="AA477" i="5" s="1"/>
  <c r="AT152" i="6"/>
  <c r="Y554" i="5"/>
  <c r="AA554" i="5" s="1"/>
  <c r="Y140" i="5"/>
  <c r="Y431" i="5"/>
  <c r="Z431" i="5" s="1"/>
  <c r="Y230" i="5"/>
  <c r="Y463" i="5"/>
  <c r="AA463" i="5" s="1"/>
  <c r="Y345" i="5"/>
  <c r="Z345" i="5" s="1"/>
  <c r="Y231" i="5"/>
  <c r="Y65" i="5"/>
  <c r="AA65" i="5" s="1"/>
  <c r="Y552" i="5"/>
  <c r="Z552" i="5" s="1"/>
  <c r="Y253" i="5"/>
  <c r="Z253" i="5" s="1"/>
  <c r="Y88" i="5"/>
  <c r="Y407" i="5"/>
  <c r="Z407" i="5" s="1"/>
  <c r="Y485" i="5"/>
  <c r="Y290" i="5"/>
  <c r="Y178" i="5"/>
  <c r="Y50" i="5"/>
  <c r="Y360" i="5"/>
  <c r="Y10" i="5"/>
  <c r="AA10" i="5" s="1"/>
  <c r="U108" i="6"/>
  <c r="Y181" i="5"/>
  <c r="Z181" i="5" s="1"/>
  <c r="Y325" i="5"/>
  <c r="Z325" i="5" s="1"/>
  <c r="Y445" i="5"/>
  <c r="Z445" i="5" s="1"/>
  <c r="Y270" i="5"/>
  <c r="Z270" i="5" s="1"/>
  <c r="Y399" i="5"/>
  <c r="AA399" i="5" s="1"/>
  <c r="Y546" i="5"/>
  <c r="AA546" i="5" s="1"/>
  <c r="Y263" i="5"/>
  <c r="Z263" i="5" s="1"/>
  <c r="Y300" i="5"/>
  <c r="Z300" i="5" s="1"/>
  <c r="Y243" i="5"/>
  <c r="Z243" i="5" s="1"/>
  <c r="Y256" i="5"/>
  <c r="AA256" i="5" s="1"/>
  <c r="Y110" i="5"/>
  <c r="AA110" i="5" s="1"/>
  <c r="Y184" i="5"/>
  <c r="Z184" i="5" s="1"/>
  <c r="Y367" i="5"/>
  <c r="AA367" i="5" s="1"/>
  <c r="Y543" i="5"/>
  <c r="AA543" i="5" s="1"/>
  <c r="Y287" i="5"/>
  <c r="AA287" i="5" s="1"/>
  <c r="Y195" i="5"/>
  <c r="AA195" i="5" s="1"/>
  <c r="Y13" i="5"/>
  <c r="AA13" i="5" s="1"/>
  <c r="W108" i="6"/>
  <c r="X108" i="6" s="1"/>
  <c r="AT15" i="6"/>
  <c r="AT123" i="6"/>
  <c r="Y149" i="5"/>
  <c r="AA149" i="5" s="1"/>
  <c r="Y137" i="5"/>
  <c r="Z137" i="5" s="1"/>
  <c r="Y498" i="5"/>
  <c r="Z498" i="5" s="1"/>
  <c r="Y515" i="5"/>
  <c r="Z515" i="5" s="1"/>
  <c r="Y353" i="5"/>
  <c r="Z353" i="5" s="1"/>
  <c r="Y422" i="5"/>
  <c r="AA422" i="5" s="1"/>
  <c r="Y251" i="5"/>
  <c r="AA251" i="5" s="1"/>
  <c r="Y444" i="5"/>
  <c r="Z444" i="5" s="1"/>
  <c r="Y216" i="5"/>
  <c r="Z216" i="5" s="1"/>
  <c r="Y203" i="5"/>
  <c r="AA203" i="5" s="1"/>
  <c r="Y364" i="5"/>
  <c r="AA364" i="5" s="1"/>
  <c r="Y100" i="5"/>
  <c r="AA100" i="5" s="1"/>
  <c r="Y188" i="5"/>
  <c r="Z188" i="5" s="1"/>
  <c r="Y201" i="5"/>
  <c r="AA201" i="5" s="1"/>
  <c r="Y549" i="5"/>
  <c r="Z549" i="5" s="1"/>
  <c r="Y311" i="5"/>
  <c r="Y57" i="5"/>
  <c r="AA57" i="5" s="1"/>
  <c r="Y12" i="5"/>
  <c r="AA12" i="5" s="1"/>
  <c r="AT108" i="6"/>
  <c r="Y258" i="5"/>
  <c r="Z258" i="5" s="1"/>
  <c r="Y323" i="5"/>
  <c r="Z323" i="5" s="1"/>
  <c r="Y275" i="5"/>
  <c r="Z275" i="5" s="1"/>
  <c r="Y145" i="5"/>
  <c r="AA145" i="5" s="1"/>
  <c r="Y297" i="5"/>
  <c r="Z297" i="5" s="1"/>
  <c r="Y144" i="5"/>
  <c r="AA144" i="5" s="1"/>
  <c r="Y397" i="5"/>
  <c r="Z397" i="5" s="1"/>
  <c r="Y524" i="5"/>
  <c r="AA524" i="5" s="1"/>
  <c r="Y343" i="5"/>
  <c r="AA343" i="5" s="1"/>
  <c r="Y557" i="5"/>
  <c r="Z557" i="5" s="1"/>
  <c r="Y486" i="5"/>
  <c r="AA486" i="5" s="1"/>
  <c r="Y365" i="5"/>
  <c r="Z365" i="5" s="1"/>
  <c r="Y94" i="5"/>
  <c r="Z94" i="5" s="1"/>
  <c r="Y132" i="5"/>
  <c r="AA132" i="5" s="1"/>
  <c r="Y89" i="5"/>
  <c r="Z89" i="5" s="1"/>
  <c r="Y413" i="5"/>
  <c r="AA413" i="5" s="1"/>
  <c r="Y507" i="5"/>
  <c r="AA507" i="5" s="1"/>
  <c r="V132" i="6"/>
  <c r="AT132" i="6"/>
  <c r="U132" i="6"/>
  <c r="V141" i="6"/>
  <c r="AT141" i="6"/>
  <c r="U141" i="6"/>
  <c r="V7" i="6"/>
  <c r="AT7" i="6"/>
  <c r="U7" i="6"/>
  <c r="V143" i="6"/>
  <c r="AT143" i="6"/>
  <c r="U143" i="6"/>
  <c r="V82" i="6"/>
  <c r="AT82" i="6"/>
  <c r="AM14" i="6"/>
  <c r="W14" i="6"/>
  <c r="Y14" i="6" s="1"/>
  <c r="AR14" i="6" s="1"/>
  <c r="V89" i="6"/>
  <c r="U89" i="6"/>
  <c r="V44" i="6"/>
  <c r="AT44" i="6"/>
  <c r="U44" i="6"/>
  <c r="AM121" i="6"/>
  <c r="W121" i="6"/>
  <c r="X121" i="6" s="1"/>
  <c r="V135" i="6"/>
  <c r="AT135" i="6"/>
  <c r="AM102" i="6"/>
  <c r="W102" i="6"/>
  <c r="X102" i="6" s="1"/>
  <c r="AM149" i="6"/>
  <c r="W149" i="6"/>
  <c r="X149" i="6" s="1"/>
  <c r="AM46" i="6"/>
  <c r="W46" i="6"/>
  <c r="X46" i="6" s="1"/>
  <c r="V47" i="6"/>
  <c r="AT47" i="6"/>
  <c r="V48" i="6"/>
  <c r="AT48" i="6"/>
  <c r="U48" i="6"/>
  <c r="W152" i="6"/>
  <c r="X152" i="6" s="1"/>
  <c r="Y68" i="5"/>
  <c r="AA68" i="5" s="1"/>
  <c r="Y468" i="5"/>
  <c r="Z468" i="5" s="1"/>
  <c r="Y550" i="5"/>
  <c r="AA550" i="5" s="1"/>
  <c r="Y267" i="5"/>
  <c r="AA267" i="5" s="1"/>
  <c r="Y417" i="5"/>
  <c r="AA417" i="5" s="1"/>
  <c r="Y487" i="5"/>
  <c r="Z487" i="5" s="1"/>
  <c r="Y390" i="5"/>
  <c r="AA390" i="5" s="1"/>
  <c r="Y425" i="5"/>
  <c r="AA425" i="5" s="1"/>
  <c r="Y511" i="5"/>
  <c r="AA511" i="5" s="1"/>
  <c r="Y206" i="5"/>
  <c r="Z206" i="5" s="1"/>
  <c r="Y327" i="5"/>
  <c r="AA327" i="5" s="1"/>
  <c r="Y276" i="5"/>
  <c r="Z276" i="5" s="1"/>
  <c r="Y86" i="5"/>
  <c r="AA86" i="5" s="1"/>
  <c r="Y384" i="5"/>
  <c r="AA384" i="5" s="1"/>
  <c r="Y558" i="5"/>
  <c r="Z558" i="5" s="1"/>
  <c r="Y443" i="5"/>
  <c r="AA443" i="5" s="1"/>
  <c r="Y410" i="5"/>
  <c r="AA410" i="5" s="1"/>
  <c r="Y73" i="5"/>
  <c r="AA73" i="5" s="1"/>
  <c r="Y286" i="5"/>
  <c r="Z286" i="5" s="1"/>
  <c r="Y330" i="5"/>
  <c r="AA330" i="5" s="1"/>
  <c r="Y254" i="5"/>
  <c r="Z254" i="5" s="1"/>
  <c r="Y173" i="5"/>
  <c r="Z173" i="5" s="1"/>
  <c r="Y400" i="5"/>
  <c r="Z400" i="5" s="1"/>
  <c r="Y85" i="5"/>
  <c r="AA85" i="5" s="1"/>
  <c r="Y59" i="5"/>
  <c r="AA59" i="5" s="1"/>
  <c r="Y211" i="5"/>
  <c r="AA211" i="5" s="1"/>
  <c r="Y273" i="5"/>
  <c r="AA273" i="5" s="1"/>
  <c r="Y482" i="5"/>
  <c r="AA482" i="5" s="1"/>
  <c r="Y542" i="5"/>
  <c r="Z542" i="5" s="1"/>
  <c r="Y66" i="5"/>
  <c r="Z66" i="5" s="1"/>
  <c r="Y77" i="5"/>
  <c r="AA77" i="5" s="1"/>
  <c r="Y49" i="5"/>
  <c r="Z49" i="5" s="1"/>
  <c r="Y335" i="5"/>
  <c r="Z335" i="5" s="1"/>
  <c r="Y496" i="5"/>
  <c r="AA496" i="5" s="1"/>
  <c r="Y473" i="5"/>
  <c r="Z473" i="5" s="1"/>
  <c r="Y266" i="5"/>
  <c r="AA266" i="5" s="1"/>
  <c r="Y56" i="5"/>
  <c r="AA56" i="5" s="1"/>
  <c r="Y334" i="5"/>
  <c r="Z334" i="5" s="1"/>
  <c r="Y279" i="5"/>
  <c r="AA279" i="5" s="1"/>
  <c r="Y531" i="5"/>
  <c r="AA531" i="5" s="1"/>
  <c r="Y516" i="5"/>
  <c r="AA516" i="5" s="1"/>
  <c r="Y234" i="5"/>
  <c r="Z234" i="5" s="1"/>
  <c r="Y162" i="5"/>
  <c r="Z162" i="5" s="1"/>
  <c r="Y74" i="5"/>
  <c r="Z74" i="5" s="1"/>
  <c r="Y355" i="5"/>
  <c r="AA355" i="5" s="1"/>
  <c r="Y530" i="5"/>
  <c r="AA530" i="5" s="1"/>
  <c r="Y340" i="5"/>
  <c r="AA340" i="5" s="1"/>
  <c r="Y44" i="5"/>
  <c r="Z44" i="5" s="1"/>
  <c r="Y277" i="5"/>
  <c r="Z277" i="5" s="1"/>
  <c r="Y220" i="5"/>
  <c r="AA220" i="5" s="1"/>
  <c r="Y136" i="5"/>
  <c r="Y433" i="5"/>
  <c r="Z433" i="5" s="1"/>
  <c r="Y121" i="5"/>
  <c r="AA121" i="5" s="1"/>
  <c r="Y359" i="5"/>
  <c r="AA359" i="5" s="1"/>
  <c r="Y381" i="5"/>
  <c r="Y462" i="5"/>
  <c r="AA462" i="5" s="1"/>
  <c r="Y272" i="5"/>
  <c r="AA272" i="5" s="1"/>
  <c r="Y405" i="5"/>
  <c r="Z405" i="5" s="1"/>
  <c r="Y154" i="5"/>
  <c r="Z154" i="5" s="1"/>
  <c r="Y383" i="5"/>
  <c r="Z383" i="5" s="1"/>
  <c r="Y426" i="5"/>
  <c r="AA426" i="5" s="1"/>
  <c r="Y326" i="5"/>
  <c r="AA326" i="5" s="1"/>
  <c r="Y114" i="5"/>
  <c r="AA114" i="5" s="1"/>
  <c r="Y357" i="5"/>
  <c r="Z357" i="5" s="1"/>
  <c r="Y200" i="5"/>
  <c r="Z200" i="5" s="1"/>
  <c r="Y539" i="5"/>
  <c r="AA539" i="5" s="1"/>
  <c r="Y237" i="5"/>
  <c r="AA237" i="5" s="1"/>
  <c r="Y222" i="5"/>
  <c r="W100" i="6"/>
  <c r="X100" i="6" s="1"/>
  <c r="U52" i="6"/>
  <c r="U94" i="6"/>
  <c r="U19" i="6"/>
  <c r="Y450" i="5"/>
  <c r="Z450" i="5" s="1"/>
  <c r="Y179" i="5"/>
  <c r="AA179" i="5" s="1"/>
  <c r="Y437" i="5"/>
  <c r="AA437" i="5" s="1"/>
  <c r="Y160" i="5"/>
  <c r="Z160" i="5" s="1"/>
  <c r="Y128" i="5"/>
  <c r="AA128" i="5" s="1"/>
  <c r="Y333" i="5"/>
  <c r="Z333" i="5" s="1"/>
  <c r="Y544" i="5"/>
  <c r="AA544" i="5" s="1"/>
  <c r="Y174" i="5"/>
  <c r="AA174" i="5" s="1"/>
  <c r="Y341" i="5"/>
  <c r="Z341" i="5" s="1"/>
  <c r="Y525" i="5"/>
  <c r="Z525" i="5" s="1"/>
  <c r="Y141" i="5"/>
  <c r="AA141" i="5" s="1"/>
  <c r="Y501" i="5"/>
  <c r="AA501" i="5" s="1"/>
  <c r="Y538" i="5"/>
  <c r="Z538" i="5" s="1"/>
  <c r="Y438" i="5"/>
  <c r="AA438" i="5" s="1"/>
  <c r="Y406" i="5"/>
  <c r="AA406" i="5" s="1"/>
  <c r="Y119" i="5"/>
  <c r="AA119" i="5" s="1"/>
  <c r="Y517" i="5"/>
  <c r="AA517" i="5" s="1"/>
  <c r="Y481" i="5"/>
  <c r="AA481" i="5" s="1"/>
  <c r="Y363" i="5"/>
  <c r="AA363" i="5" s="1"/>
  <c r="Y361" i="5"/>
  <c r="AA361" i="5" s="1"/>
  <c r="Y337" i="5"/>
  <c r="Z337" i="5" s="1"/>
  <c r="Y192" i="5"/>
  <c r="AA192" i="5" s="1"/>
  <c r="Y475" i="5"/>
  <c r="Z475" i="5" s="1"/>
  <c r="Y434" i="5"/>
  <c r="Z434" i="5" s="1"/>
  <c r="Y125" i="5"/>
  <c r="AA125" i="5" s="1"/>
  <c r="Y75" i="5"/>
  <c r="Z75" i="5" s="1"/>
  <c r="Y198" i="5"/>
  <c r="Z198" i="5" s="1"/>
  <c r="Y324" i="5"/>
  <c r="Z324" i="5" s="1"/>
  <c r="Y411" i="5"/>
  <c r="AA411" i="5" s="1"/>
  <c r="Y548" i="5"/>
  <c r="AA548" i="5" s="1"/>
  <c r="Y115" i="5"/>
  <c r="Z115" i="5" s="1"/>
  <c r="Y92" i="5"/>
  <c r="AA92" i="5" s="1"/>
  <c r="Y196" i="5"/>
  <c r="AA196" i="5" s="1"/>
  <c r="Y342" i="5"/>
  <c r="Z342" i="5" s="1"/>
  <c r="Y453" i="5"/>
  <c r="AA453" i="5" s="1"/>
  <c r="Y461" i="5"/>
  <c r="Z461" i="5" s="1"/>
  <c r="Y111" i="5"/>
  <c r="AA111" i="5" s="1"/>
  <c r="Y102" i="5"/>
  <c r="Z102" i="5" s="1"/>
  <c r="Y225" i="5"/>
  <c r="AA225" i="5" s="1"/>
  <c r="Y369" i="5"/>
  <c r="AA369" i="5" s="1"/>
  <c r="Y490" i="5"/>
  <c r="AA490" i="5" s="1"/>
  <c r="Y472" i="5"/>
  <c r="Z472" i="5" s="1"/>
  <c r="Y84" i="5"/>
  <c r="Z84" i="5" s="1"/>
  <c r="Y43" i="5"/>
  <c r="AA43" i="5" s="1"/>
  <c r="Y446" i="5"/>
  <c r="AA446" i="5" s="1"/>
  <c r="Y370" i="5"/>
  <c r="AA370" i="5" s="1"/>
  <c r="Y470" i="5"/>
  <c r="AA470" i="5" s="1"/>
  <c r="Y219" i="5"/>
  <c r="AA219" i="5" s="1"/>
  <c r="Y53" i="5"/>
  <c r="AA53" i="5" s="1"/>
  <c r="Y93" i="5"/>
  <c r="AA93" i="5" s="1"/>
  <c r="Y402" i="5"/>
  <c r="AA402" i="5" s="1"/>
  <c r="Y99" i="5"/>
  <c r="AA99" i="5" s="1"/>
  <c r="Y457" i="5"/>
  <c r="AA457" i="5" s="1"/>
  <c r="Y118" i="5"/>
  <c r="Z118" i="5" s="1"/>
  <c r="Y301" i="5"/>
  <c r="Z301" i="5" s="1"/>
  <c r="Y304" i="5"/>
  <c r="AA304" i="5" s="1"/>
  <c r="Y513" i="5"/>
  <c r="Z513" i="5" s="1"/>
  <c r="Y382" i="5"/>
  <c r="Z382" i="5" s="1"/>
  <c r="Y448" i="5"/>
  <c r="AA448" i="5" s="1"/>
  <c r="Y126" i="5"/>
  <c r="Z126" i="5" s="1"/>
  <c r="Y244" i="5"/>
  <c r="Z244" i="5" s="1"/>
  <c r="Y378" i="5"/>
  <c r="AA378" i="5" s="1"/>
  <c r="Y152" i="5"/>
  <c r="Y41" i="5"/>
  <c r="Y293" i="5"/>
  <c r="Y388" i="5"/>
  <c r="Y278" i="5"/>
  <c r="Y488" i="5"/>
  <c r="U35" i="6"/>
  <c r="U145" i="6"/>
  <c r="AT100" i="6"/>
  <c r="U98" i="6"/>
  <c r="W52" i="6"/>
  <c r="X52" i="6" s="1"/>
  <c r="W94" i="6"/>
  <c r="X94" i="6" s="1"/>
  <c r="W19" i="6"/>
  <c r="Y19" i="6" s="1"/>
  <c r="AR19" i="6" s="1"/>
  <c r="U56" i="6"/>
  <c r="Y153" i="5"/>
  <c r="Z153" i="5" s="1"/>
  <c r="Y302" i="5"/>
  <c r="Z302" i="5" s="1"/>
  <c r="Y347" i="5"/>
  <c r="Z347" i="5" s="1"/>
  <c r="Y127" i="5"/>
  <c r="Z127" i="5" s="1"/>
  <c r="Y185" i="5"/>
  <c r="AA185" i="5" s="1"/>
  <c r="Y440" i="5"/>
  <c r="AA440" i="5" s="1"/>
  <c r="Y224" i="5"/>
  <c r="AA224" i="5" s="1"/>
  <c r="Y193" i="5"/>
  <c r="Z193" i="5" s="1"/>
  <c r="Y459" i="5"/>
  <c r="Z459" i="5" s="1"/>
  <c r="Y227" i="5"/>
  <c r="AA227" i="5" s="1"/>
  <c r="Y58" i="5"/>
  <c r="AA58" i="5" s="1"/>
  <c r="Y377" i="5"/>
  <c r="AA377" i="5" s="1"/>
  <c r="Y540" i="5"/>
  <c r="AA540" i="5" s="1"/>
  <c r="Y321" i="5"/>
  <c r="Z321" i="5" s="1"/>
  <c r="Y309" i="5"/>
  <c r="AA309" i="5" s="1"/>
  <c r="Y218" i="5"/>
  <c r="Z218" i="5" s="1"/>
  <c r="Y339" i="5"/>
  <c r="Z339" i="5" s="1"/>
  <c r="Y401" i="5"/>
  <c r="AA401" i="5" s="1"/>
  <c r="Y120" i="5"/>
  <c r="AA120" i="5" s="1"/>
  <c r="Y288" i="5"/>
  <c r="AA288" i="5" s="1"/>
  <c r="Y489" i="5"/>
  <c r="Z489" i="5" s="1"/>
  <c r="Y398" i="5"/>
  <c r="AA398" i="5" s="1"/>
  <c r="Y372" i="5"/>
  <c r="AA372" i="5" s="1"/>
  <c r="Y366" i="5"/>
  <c r="AA366" i="5" s="1"/>
  <c r="Y214" i="5"/>
  <c r="AA214" i="5" s="1"/>
  <c r="Y505" i="5"/>
  <c r="AA505" i="5" s="1"/>
  <c r="Y172" i="5"/>
  <c r="Z172" i="5" s="1"/>
  <c r="Y252" i="5"/>
  <c r="Z252" i="5" s="1"/>
  <c r="Y408" i="5"/>
  <c r="AA408" i="5" s="1"/>
  <c r="Y499" i="5"/>
  <c r="Z499" i="5" s="1"/>
  <c r="Y194" i="5"/>
  <c r="Z194" i="5" s="1"/>
  <c r="Y55" i="5"/>
  <c r="AA55" i="5" s="1"/>
  <c r="Y180" i="5"/>
  <c r="Z180" i="5" s="1"/>
  <c r="Y271" i="5"/>
  <c r="Z271" i="5" s="1"/>
  <c r="Y447" i="5"/>
  <c r="Z447" i="5" s="1"/>
  <c r="Y476" i="5"/>
  <c r="Z476" i="5" s="1"/>
  <c r="Y87" i="5"/>
  <c r="AA87" i="5" s="1"/>
  <c r="Y182" i="5"/>
  <c r="Z182" i="5" s="1"/>
  <c r="Y209" i="5"/>
  <c r="AA209" i="5" s="1"/>
  <c r="Y259" i="5"/>
  <c r="AA259" i="5" s="1"/>
  <c r="Y416" i="5"/>
  <c r="Z416" i="5" s="1"/>
  <c r="Y415" i="5"/>
  <c r="AA415" i="5" s="1"/>
  <c r="Y39" i="5"/>
  <c r="Z39" i="5" s="1"/>
  <c r="Y427" i="5"/>
  <c r="AA427" i="5" s="1"/>
  <c r="Y223" i="5"/>
  <c r="Z223" i="5" s="1"/>
  <c r="Y285" i="5"/>
  <c r="Z285" i="5" s="1"/>
  <c r="Y412" i="5"/>
  <c r="Z412" i="5" s="1"/>
  <c r="Y483" i="5"/>
  <c r="Z483" i="5" s="1"/>
  <c r="Y25" i="5"/>
  <c r="AA25" i="5" s="1"/>
  <c r="Y122" i="5"/>
  <c r="AA122" i="5" s="1"/>
  <c r="Y320" i="5"/>
  <c r="AA320" i="5" s="1"/>
  <c r="Y81" i="5"/>
  <c r="AA81" i="5" s="1"/>
  <c r="Y33" i="5"/>
  <c r="AA33" i="5" s="1"/>
  <c r="Y150" i="5"/>
  <c r="Z150" i="5" s="1"/>
  <c r="Y319" i="5"/>
  <c r="AA319" i="5" s="1"/>
  <c r="Y432" i="5"/>
  <c r="AA432" i="5" s="1"/>
  <c r="Y217" i="5"/>
  <c r="Z217" i="5" s="1"/>
  <c r="Y36" i="5"/>
  <c r="AA36" i="5" s="1"/>
  <c r="Y349" i="5"/>
  <c r="Z349" i="5" s="1"/>
  <c r="Y164" i="5"/>
  <c r="Z164" i="5" s="1"/>
  <c r="Y295" i="5"/>
  <c r="AA295" i="5" s="1"/>
  <c r="Y303" i="5"/>
  <c r="AA303" i="5" s="1"/>
  <c r="Y38" i="5"/>
  <c r="Z38" i="5" s="1"/>
  <c r="Y35" i="5"/>
  <c r="AA35" i="5" s="1"/>
  <c r="Y241" i="5"/>
  <c r="AA241" i="5" s="1"/>
  <c r="Y117" i="5"/>
  <c r="AA117" i="5" s="1"/>
  <c r="Y64" i="5"/>
  <c r="AA64" i="5" s="1"/>
  <c r="W35" i="6"/>
  <c r="Y35" i="6" s="1"/>
  <c r="AR35" i="6" s="1"/>
  <c r="W145" i="6"/>
  <c r="X145" i="6" s="1"/>
  <c r="W98" i="6"/>
  <c r="X98" i="6" s="1"/>
  <c r="AT52" i="6"/>
  <c r="AT94" i="6"/>
  <c r="AT19" i="6"/>
  <c r="W56" i="6"/>
  <c r="X56" i="6" s="1"/>
  <c r="Y208" i="5"/>
  <c r="AA208" i="5" s="1"/>
  <c r="Y506" i="5"/>
  <c r="Z506" i="5" s="1"/>
  <c r="Y469" i="5"/>
  <c r="Z469" i="5" s="1"/>
  <c r="Y157" i="5"/>
  <c r="AA157" i="5" s="1"/>
  <c r="Y348" i="5"/>
  <c r="Z348" i="5" s="1"/>
  <c r="Y374" i="5"/>
  <c r="AA374" i="5" s="1"/>
  <c r="Y161" i="5"/>
  <c r="AA161" i="5" s="1"/>
  <c r="Y350" i="5"/>
  <c r="Z350" i="5" s="1"/>
  <c r="Y376" i="5"/>
  <c r="AA376" i="5" s="1"/>
  <c r="Y268" i="5"/>
  <c r="Z268" i="5" s="1"/>
  <c r="Y233" i="5"/>
  <c r="AA233" i="5" s="1"/>
  <c r="Y291" i="5"/>
  <c r="Z291" i="5" s="1"/>
  <c r="Y97" i="5"/>
  <c r="Z97" i="5" s="1"/>
  <c r="Y502" i="5"/>
  <c r="Z502" i="5" s="1"/>
  <c r="Y454" i="5"/>
  <c r="AA454" i="5" s="1"/>
  <c r="Y28" i="5"/>
  <c r="AA28" i="5" s="1"/>
  <c r="Y451" i="5"/>
  <c r="Z451" i="5" s="1"/>
  <c r="Y519" i="5"/>
  <c r="AA519" i="5" s="1"/>
  <c r="Y238" i="5"/>
  <c r="Z238" i="5" s="1"/>
  <c r="Y346" i="5"/>
  <c r="AA346" i="5" s="1"/>
  <c r="Y420" i="5"/>
  <c r="AA420" i="5" s="1"/>
  <c r="Y148" i="5"/>
  <c r="Z148" i="5" s="1"/>
  <c r="Y294" i="5"/>
  <c r="AA294" i="5" s="1"/>
  <c r="Y492" i="5"/>
  <c r="Z492" i="5" s="1"/>
  <c r="Y60" i="5"/>
  <c r="Z60" i="5" s="1"/>
  <c r="Y455" i="5"/>
  <c r="AA455" i="5" s="1"/>
  <c r="Y212" i="5"/>
  <c r="Z212" i="5" s="1"/>
  <c r="Y67" i="5"/>
  <c r="Z67" i="5" s="1"/>
  <c r="Y386" i="5"/>
  <c r="AA386" i="5" s="1"/>
  <c r="Y351" i="5"/>
  <c r="AA351" i="5" s="1"/>
  <c r="Y322" i="5"/>
  <c r="AA322" i="5" s="1"/>
  <c r="Y78" i="5"/>
  <c r="AA78" i="5" s="1"/>
  <c r="Y190" i="5"/>
  <c r="AA190" i="5" s="1"/>
  <c r="Y257" i="5"/>
  <c r="Z257" i="5" s="1"/>
  <c r="Y395" i="5"/>
  <c r="Z395" i="5" s="1"/>
  <c r="Y523" i="5"/>
  <c r="Z523" i="5" s="1"/>
  <c r="Y317" i="5"/>
  <c r="Y21" i="5"/>
  <c r="Z21" i="5" s="1"/>
  <c r="Y449" i="5"/>
  <c r="Z449" i="5" s="1"/>
  <c r="Y289" i="5"/>
  <c r="AA289" i="5" s="1"/>
  <c r="Y424" i="5"/>
  <c r="Y308" i="5"/>
  <c r="AA308" i="5" s="1"/>
  <c r="Y305" i="5"/>
  <c r="Z305" i="5" s="1"/>
  <c r="Y37" i="5"/>
  <c r="AA37" i="5" s="1"/>
  <c r="Y69" i="5"/>
  <c r="AA69" i="5" s="1"/>
  <c r="Y312" i="5"/>
  <c r="Y393" i="5"/>
  <c r="AA393" i="5" s="1"/>
  <c r="Y158" i="5"/>
  <c r="Z158" i="5" s="1"/>
  <c r="Y245" i="5"/>
  <c r="Z245" i="5" s="1"/>
  <c r="Y133" i="5"/>
  <c r="Z133" i="5" s="1"/>
  <c r="Y284" i="5"/>
  <c r="Y135" i="5"/>
  <c r="AA135" i="5" s="1"/>
  <c r="Y534" i="5"/>
  <c r="Y71" i="5"/>
  <c r="Z71" i="5" s="1"/>
  <c r="Y249" i="5"/>
  <c r="AA249" i="5" s="1"/>
  <c r="Y421" i="5"/>
  <c r="Z421" i="5" s="1"/>
  <c r="Y465" i="5"/>
  <c r="AA465" i="5" s="1"/>
  <c r="Y123" i="5"/>
  <c r="Z123" i="5" s="1"/>
  <c r="Y143" i="5"/>
  <c r="Y175" i="5"/>
  <c r="AA175" i="5" s="1"/>
  <c r="Y336" i="5"/>
  <c r="Z336" i="5" s="1"/>
  <c r="Y460" i="5"/>
  <c r="AA460" i="5" s="1"/>
  <c r="Y124" i="5"/>
  <c r="Y130" i="5"/>
  <c r="Y101" i="5"/>
  <c r="Y109" i="5"/>
  <c r="Y129" i="5"/>
  <c r="U64" i="6"/>
  <c r="AT35" i="6"/>
  <c r="U15" i="6"/>
  <c r="AT145" i="6"/>
  <c r="U123" i="6"/>
  <c r="AT98" i="6"/>
  <c r="U41" i="6"/>
  <c r="AT56" i="6"/>
  <c r="Y155" i="5"/>
  <c r="Z155" i="5" s="1"/>
  <c r="Y392" i="5"/>
  <c r="Z392" i="5" s="1"/>
  <c r="Y368" i="5"/>
  <c r="AA368" i="5" s="1"/>
  <c r="Y210" i="5"/>
  <c r="AA210" i="5" s="1"/>
  <c r="Y541" i="5"/>
  <c r="Z541" i="5" s="1"/>
  <c r="Y494" i="5"/>
  <c r="Z494" i="5" s="1"/>
  <c r="Y213" i="5"/>
  <c r="AA213" i="5" s="1"/>
  <c r="Y280" i="5"/>
  <c r="AA280" i="5" s="1"/>
  <c r="Y504" i="5"/>
  <c r="Z504" i="5" s="1"/>
  <c r="Y165" i="5"/>
  <c r="AA165" i="5" s="1"/>
  <c r="Y387" i="5"/>
  <c r="AA387" i="5" s="1"/>
  <c r="Y404" i="5"/>
  <c r="Z404" i="5" s="1"/>
  <c r="Y207" i="5"/>
  <c r="AA207" i="5" s="1"/>
  <c r="Y338" i="5"/>
  <c r="AA338" i="5" s="1"/>
  <c r="Y329" i="5"/>
  <c r="Z329" i="5" s="1"/>
  <c r="Y189" i="5"/>
  <c r="Z189" i="5" s="1"/>
  <c r="Y518" i="5"/>
  <c r="AA518" i="5" s="1"/>
  <c r="Y19" i="5"/>
  <c r="Z19" i="5" s="1"/>
  <c r="Y34" i="5"/>
  <c r="Z34" i="5" s="1"/>
  <c r="Y458" i="5"/>
  <c r="AA458" i="5" s="1"/>
  <c r="Y526" i="5"/>
  <c r="AA526" i="5" s="1"/>
  <c r="Y255" i="5"/>
  <c r="Z255" i="5" s="1"/>
  <c r="Y358" i="5"/>
  <c r="AA358" i="5" s="1"/>
  <c r="Y435" i="5"/>
  <c r="Z435" i="5" s="1"/>
  <c r="Y112" i="5"/>
  <c r="AA112" i="5" s="1"/>
  <c r="Y48" i="5"/>
  <c r="Z48" i="5" s="1"/>
  <c r="Y187" i="5"/>
  <c r="AA187" i="5" s="1"/>
  <c r="Y344" i="5"/>
  <c r="AA344" i="5" s="1"/>
  <c r="Y474" i="5"/>
  <c r="AA474" i="5" s="1"/>
  <c r="Y533" i="5"/>
  <c r="AA533" i="5" s="1"/>
  <c r="Y108" i="5"/>
  <c r="AA108" i="5" s="1"/>
  <c r="Y480" i="5"/>
  <c r="Z480" i="5" s="1"/>
  <c r="Y166" i="5"/>
  <c r="AA166" i="5" s="1"/>
  <c r="Y356" i="5"/>
  <c r="AA356" i="5" s="1"/>
  <c r="Y90" i="5"/>
  <c r="Z90" i="5" s="1"/>
  <c r="Y535" i="5"/>
  <c r="AA535" i="5" s="1"/>
  <c r="Y105" i="5"/>
  <c r="AA105" i="5" s="1"/>
  <c r="Y467" i="5"/>
  <c r="AA467" i="5" s="1"/>
  <c r="Y183" i="5"/>
  <c r="AA183" i="5" s="1"/>
  <c r="Y61" i="5"/>
  <c r="AA61" i="5" s="1"/>
  <c r="Y228" i="5"/>
  <c r="AA228" i="5" s="1"/>
  <c r="Y247" i="5"/>
  <c r="AA247" i="5" s="1"/>
  <c r="Y95" i="5"/>
  <c r="AA95" i="5" s="1"/>
  <c r="Y389" i="5"/>
  <c r="Z389" i="5" s="1"/>
  <c r="Y186" i="5"/>
  <c r="AA186" i="5" s="1"/>
  <c r="Y138" i="5"/>
  <c r="AA138" i="5" s="1"/>
  <c r="Y380" i="5"/>
  <c r="Z380" i="5" s="1"/>
  <c r="Y82" i="5"/>
  <c r="AA82" i="5" s="1"/>
  <c r="Y80" i="5"/>
  <c r="Z80" i="5" s="1"/>
  <c r="Y47" i="5"/>
  <c r="Z47" i="5" s="1"/>
  <c r="Y169" i="5"/>
  <c r="AA169" i="5" s="1"/>
  <c r="Y156" i="5"/>
  <c r="Z156" i="5" s="1"/>
  <c r="Y151" i="5"/>
  <c r="AA151" i="5" s="1"/>
  <c r="Y264" i="5"/>
  <c r="Z264" i="5" s="1"/>
  <c r="Y371" i="5"/>
  <c r="Z371" i="5" s="1"/>
  <c r="Y508" i="5"/>
  <c r="AA508" i="5" s="1"/>
  <c r="Y495" i="5"/>
  <c r="AA495" i="5" s="1"/>
  <c r="Y103" i="5"/>
  <c r="AA103" i="5" s="1"/>
  <c r="Y83" i="5"/>
  <c r="AA83" i="5" s="1"/>
  <c r="Y113" i="5"/>
  <c r="AA113" i="5" s="1"/>
  <c r="Y260" i="5"/>
  <c r="AA260" i="5" s="1"/>
  <c r="Y418" i="5"/>
  <c r="AA418" i="5" s="1"/>
  <c r="Y328" i="5"/>
  <c r="Z328" i="5" s="1"/>
  <c r="Y545" i="5"/>
  <c r="Z545" i="5" s="1"/>
  <c r="Y27" i="5"/>
  <c r="Z27" i="5" s="1"/>
  <c r="Y134" i="5"/>
  <c r="Z134" i="5" s="1"/>
  <c r="Y352" i="5"/>
  <c r="AA352" i="5" s="1"/>
  <c r="W64" i="6"/>
  <c r="X64" i="6" s="1"/>
  <c r="W15" i="6"/>
  <c r="Y15" i="6" s="1"/>
  <c r="AR15" i="6" s="1"/>
  <c r="W123" i="6"/>
  <c r="X123" i="6" s="1"/>
  <c r="W41" i="6"/>
  <c r="X41" i="6" s="1"/>
  <c r="Y176" i="5"/>
  <c r="AA176" i="5" s="1"/>
  <c r="Y313" i="5"/>
  <c r="Z313" i="5" s="1"/>
  <c r="Y503" i="5"/>
  <c r="Z503" i="5" s="1"/>
  <c r="Y191" i="5"/>
  <c r="AA191" i="5" s="1"/>
  <c r="Y409" i="5"/>
  <c r="AA409" i="5" s="1"/>
  <c r="Y423" i="5"/>
  <c r="AA423" i="5" s="1"/>
  <c r="Y23" i="5"/>
  <c r="AA23" i="5" s="1"/>
  <c r="Y414" i="5"/>
  <c r="AA414" i="5" s="1"/>
  <c r="Y430" i="5"/>
  <c r="AA430" i="5" s="1"/>
  <c r="Y221" i="5"/>
  <c r="AA221" i="5" s="1"/>
  <c r="Y299" i="5"/>
  <c r="AA299" i="5" s="1"/>
  <c r="Y536" i="5"/>
  <c r="Z536" i="5" s="1"/>
  <c r="Y26" i="5"/>
  <c r="Z26" i="5" s="1"/>
  <c r="Y442" i="5"/>
  <c r="Z442" i="5" s="1"/>
  <c r="Y527" i="5"/>
  <c r="AA527" i="5" s="1"/>
  <c r="Y98" i="5"/>
  <c r="AA98" i="5" s="1"/>
  <c r="Y394" i="5"/>
  <c r="Z394" i="5" s="1"/>
  <c r="Y139" i="5"/>
  <c r="Z139" i="5" s="1"/>
  <c r="Y202" i="5"/>
  <c r="Z202" i="5" s="1"/>
  <c r="Y521" i="5"/>
  <c r="Z521" i="5" s="1"/>
  <c r="Y529" i="5"/>
  <c r="Z529" i="5" s="1"/>
  <c r="Y42" i="5"/>
  <c r="AA42" i="5" s="1"/>
  <c r="Y466" i="5"/>
  <c r="AA466" i="5" s="1"/>
  <c r="Y532" i="5"/>
  <c r="Z532" i="5" s="1"/>
  <c r="Y76" i="5"/>
  <c r="AA76" i="5" s="1"/>
  <c r="Y91" i="5"/>
  <c r="AA91" i="5" s="1"/>
  <c r="Y116" i="5"/>
  <c r="AA116" i="5" s="1"/>
  <c r="Y269" i="5"/>
  <c r="Z269" i="5" s="1"/>
  <c r="Y436" i="5"/>
  <c r="Z436" i="5" s="1"/>
  <c r="Y497" i="5"/>
  <c r="AA497" i="5" s="1"/>
  <c r="Y62" i="5"/>
  <c r="Z62" i="5" s="1"/>
  <c r="Y29" i="5"/>
  <c r="Z29" i="5" s="1"/>
  <c r="Y159" i="5"/>
  <c r="AA159" i="5" s="1"/>
  <c r="Y354" i="5"/>
  <c r="Z354" i="5" s="1"/>
  <c r="Y464" i="5"/>
  <c r="AA464" i="5" s="1"/>
  <c r="Y484" i="5"/>
  <c r="AA484" i="5" s="1"/>
  <c r="Y72" i="5"/>
  <c r="AA72" i="5" s="1"/>
  <c r="Y32" i="5"/>
  <c r="AA32" i="5" s="1"/>
  <c r="Y204" i="5"/>
  <c r="AA204" i="5" s="1"/>
  <c r="Y307" i="5"/>
  <c r="AA307" i="5" s="1"/>
  <c r="Y298" i="5"/>
  <c r="AA298" i="5" s="1"/>
  <c r="Y385" i="5"/>
  <c r="AA385" i="5" s="1"/>
  <c r="Y70" i="5"/>
  <c r="AA70" i="5" s="1"/>
  <c r="Y51" i="5"/>
  <c r="AA51" i="5" s="1"/>
  <c r="Y199" i="5"/>
  <c r="AA199" i="5" s="1"/>
  <c r="Y332" i="5"/>
  <c r="AA332" i="5" s="1"/>
  <c r="Y373" i="5"/>
  <c r="Z373" i="5" s="1"/>
  <c r="Y31" i="5"/>
  <c r="AA31" i="5" s="1"/>
  <c r="Y46" i="5"/>
  <c r="AA46" i="5" s="1"/>
  <c r="Y235" i="5"/>
  <c r="AA235" i="5" s="1"/>
  <c r="Y104" i="5"/>
  <c r="Z104" i="5" s="1"/>
  <c r="Y40" i="5"/>
  <c r="AA40" i="5" s="1"/>
  <c r="Y146" i="5"/>
  <c r="Z146" i="5" s="1"/>
  <c r="Y265" i="5"/>
  <c r="Z265" i="5" s="1"/>
  <c r="Y391" i="5"/>
  <c r="Z391" i="5" s="1"/>
  <c r="Y478" i="5"/>
  <c r="AA478" i="5" s="1"/>
  <c r="Y168" i="5"/>
  <c r="AA168" i="5" s="1"/>
  <c r="Y514" i="5"/>
  <c r="AA514" i="5" s="1"/>
  <c r="Y30" i="5"/>
  <c r="Z30" i="5" s="1"/>
  <c r="Y318" i="5"/>
  <c r="Z318" i="5" s="1"/>
  <c r="Y242" i="5"/>
  <c r="AA242" i="5" s="1"/>
  <c r="Y520" i="5"/>
  <c r="AA520" i="5" s="1"/>
  <c r="Y419" i="5"/>
  <c r="AA419" i="5" s="1"/>
  <c r="Y310" i="5"/>
  <c r="AA310" i="5" s="1"/>
  <c r="Y239" i="5"/>
  <c r="AA239" i="5" s="1"/>
  <c r="Y429" i="5"/>
  <c r="AA429" i="5" s="1"/>
  <c r="Y559" i="5"/>
  <c r="AA559" i="5" s="1"/>
  <c r="U13" i="6"/>
  <c r="AT137" i="6"/>
  <c r="U40" i="6"/>
  <c r="U11" i="6"/>
  <c r="U155" i="6"/>
  <c r="AT13" i="6"/>
  <c r="W144" i="6"/>
  <c r="X144" i="6" s="1"/>
  <c r="W115" i="6"/>
  <c r="X115" i="6" s="1"/>
  <c r="W151" i="6"/>
  <c r="X151" i="6" s="1"/>
  <c r="W90" i="6"/>
  <c r="X90" i="6" s="1"/>
  <c r="W22" i="6"/>
  <c r="Y22" i="6" s="1"/>
  <c r="AR22" i="6" s="1"/>
  <c r="U96" i="6"/>
  <c r="AT40" i="6"/>
  <c r="AT11" i="6"/>
  <c r="AT155" i="6"/>
  <c r="W40" i="6"/>
  <c r="X40" i="6" s="1"/>
  <c r="W11" i="6"/>
  <c r="Y11" i="6" s="1"/>
  <c r="AR11" i="6" s="1"/>
  <c r="U63" i="6"/>
  <c r="U150" i="6"/>
  <c r="AT144" i="6"/>
  <c r="AT115" i="6"/>
  <c r="AT151" i="6"/>
  <c r="AT90" i="6"/>
  <c r="AT22" i="6"/>
  <c r="W96" i="6"/>
  <c r="X96" i="6" s="1"/>
  <c r="Y54" i="5"/>
  <c r="Z54" i="5" s="1"/>
  <c r="Y22" i="5"/>
  <c r="AT63" i="6"/>
  <c r="AT150" i="6"/>
  <c r="U137" i="6"/>
  <c r="AE137" i="6" s="1"/>
  <c r="W86" i="8"/>
  <c r="Y86" i="8" s="1"/>
  <c r="AR86" i="8" s="1"/>
  <c r="W134" i="8"/>
  <c r="Y134" i="8" s="1"/>
  <c r="AR134" i="8" s="1"/>
  <c r="P50" i="5"/>
  <c r="Q50" i="5" s="1"/>
  <c r="P313" i="5"/>
  <c r="Q313" i="5" s="1"/>
  <c r="P136" i="5"/>
  <c r="Q136" i="5" s="1"/>
  <c r="P143" i="5"/>
  <c r="Q143" i="5" s="1"/>
  <c r="P462" i="5"/>
  <c r="R462" i="5" s="1"/>
  <c r="P401" i="5"/>
  <c r="Q401" i="5" s="1"/>
  <c r="P58" i="5"/>
  <c r="Q58" i="5" s="1"/>
  <c r="P329" i="5"/>
  <c r="R329" i="5" s="1"/>
  <c r="P149" i="5"/>
  <c r="Q149" i="5" s="1"/>
  <c r="P229" i="5"/>
  <c r="Q229" i="5" s="1"/>
  <c r="P483" i="5"/>
  <c r="Q483" i="5" s="1"/>
  <c r="P458" i="5"/>
  <c r="R458" i="5" s="1"/>
  <c r="P305" i="5"/>
  <c r="R305" i="5" s="1"/>
  <c r="P108" i="5"/>
  <c r="R108" i="5" s="1"/>
  <c r="P165" i="5"/>
  <c r="P197" i="5"/>
  <c r="Q197" i="5" s="1"/>
  <c r="P182" i="5"/>
  <c r="R182" i="5" s="1"/>
  <c r="P412" i="5"/>
  <c r="R412" i="5" s="1"/>
  <c r="P389" i="5"/>
  <c r="Q389" i="5" s="1"/>
  <c r="P110" i="5"/>
  <c r="Q110" i="5" s="1"/>
  <c r="P31" i="5"/>
  <c r="R31" i="5" s="1"/>
  <c r="P230" i="5"/>
  <c r="Q230" i="5" s="1"/>
  <c r="P306" i="5"/>
  <c r="P321" i="5"/>
  <c r="R321" i="5" s="1"/>
  <c r="P502" i="5"/>
  <c r="R502" i="5" s="1"/>
  <c r="P479" i="5"/>
  <c r="R479" i="5" s="1"/>
  <c r="P48" i="5"/>
  <c r="R48" i="5" s="1"/>
  <c r="P234" i="5"/>
  <c r="R234" i="5" s="1"/>
  <c r="P174" i="5"/>
  <c r="R174" i="5" s="1"/>
  <c r="P358" i="5"/>
  <c r="Q358" i="5" s="1"/>
  <c r="P524" i="5"/>
  <c r="Q524" i="5" s="1"/>
  <c r="P377" i="5"/>
  <c r="R377" i="5" s="1"/>
  <c r="P379" i="5"/>
  <c r="Q379" i="5" s="1"/>
  <c r="P327" i="5"/>
  <c r="R327" i="5" s="1"/>
  <c r="P352" i="5"/>
  <c r="Q352" i="5" s="1"/>
  <c r="P21" i="5"/>
  <c r="Q21" i="5" s="1"/>
  <c r="P383" i="5"/>
  <c r="R383" i="5" s="1"/>
  <c r="P315" i="5"/>
  <c r="R315" i="5" s="1"/>
  <c r="P296" i="5"/>
  <c r="P307" i="5"/>
  <c r="R307" i="5" s="1"/>
  <c r="P392" i="5"/>
  <c r="Q392" i="5" s="1"/>
  <c r="P370" i="5"/>
  <c r="R370" i="5" s="1"/>
  <c r="P141" i="5"/>
  <c r="R141" i="5" s="1"/>
  <c r="P179" i="5"/>
  <c r="R179" i="5" s="1"/>
  <c r="P239" i="5"/>
  <c r="R239" i="5" s="1"/>
  <c r="P354" i="5"/>
  <c r="R354" i="5" s="1"/>
  <c r="P146" i="5"/>
  <c r="P220" i="5"/>
  <c r="Q220" i="5" s="1"/>
  <c r="P83" i="5"/>
  <c r="Q83" i="5" s="1"/>
  <c r="P263" i="5"/>
  <c r="R263" i="5" s="1"/>
  <c r="P215" i="5"/>
  <c r="P28" i="5"/>
  <c r="Q28" i="5" s="1"/>
  <c r="P528" i="5"/>
  <c r="R528" i="5" s="1"/>
  <c r="P57" i="5"/>
  <c r="Q57" i="5" s="1"/>
  <c r="P86" i="5"/>
  <c r="R86" i="5" s="1"/>
  <c r="P270" i="5"/>
  <c r="R270" i="5" s="1"/>
  <c r="P273" i="5"/>
  <c r="Q273" i="5" s="1"/>
  <c r="P98" i="5"/>
  <c r="R98" i="5" s="1"/>
  <c r="P177" i="5"/>
  <c r="R177" i="5" s="1"/>
  <c r="P366" i="5"/>
  <c r="R366" i="5" s="1"/>
  <c r="P241" i="5"/>
  <c r="Q241" i="5" s="1"/>
  <c r="P413" i="5"/>
  <c r="R413" i="5" s="1"/>
  <c r="P316" i="5"/>
  <c r="P245" i="5"/>
  <c r="Q245" i="5" s="1"/>
  <c r="P250" i="5"/>
  <c r="R250" i="5" s="1"/>
  <c r="P409" i="5"/>
  <c r="Q409" i="5" s="1"/>
  <c r="P415" i="5"/>
  <c r="R415" i="5" s="1"/>
  <c r="P508" i="5"/>
  <c r="R508" i="5" s="1"/>
  <c r="P422" i="5"/>
  <c r="R422" i="5" s="1"/>
  <c r="P406" i="5"/>
  <c r="R406" i="5" s="1"/>
  <c r="P382" i="5"/>
  <c r="P517" i="5"/>
  <c r="R517" i="5" s="1"/>
  <c r="P454" i="5"/>
  <c r="R454" i="5" s="1"/>
  <c r="P385" i="5"/>
  <c r="R385" i="5" s="1"/>
  <c r="P39" i="5"/>
  <c r="R39" i="5" s="1"/>
  <c r="P23" i="5"/>
  <c r="R23" i="5" s="1"/>
  <c r="P303" i="5"/>
  <c r="R303" i="5" s="1"/>
  <c r="P168" i="5"/>
  <c r="Q168" i="5" s="1"/>
  <c r="P203" i="5"/>
  <c r="Q203" i="5" s="1"/>
  <c r="P446" i="5"/>
  <c r="R446" i="5" s="1"/>
  <c r="P268" i="5"/>
  <c r="R268" i="5" s="1"/>
  <c r="P521" i="5"/>
  <c r="R521" i="5" s="1"/>
  <c r="P546" i="5"/>
  <c r="P295" i="5"/>
  <c r="R295" i="5" s="1"/>
  <c r="P289" i="5"/>
  <c r="R289" i="5" s="1"/>
  <c r="P442" i="5"/>
  <c r="R442" i="5" s="1"/>
  <c r="P418" i="5"/>
  <c r="P523" i="5"/>
  <c r="R523" i="5" s="1"/>
  <c r="P471" i="5"/>
  <c r="Q471" i="5" s="1"/>
  <c r="P417" i="5"/>
  <c r="R417" i="5" s="1"/>
  <c r="P390" i="5"/>
  <c r="Q390" i="5" s="1"/>
  <c r="P532" i="5"/>
  <c r="R532" i="5" s="1"/>
  <c r="P469" i="5"/>
  <c r="R469" i="5" s="1"/>
  <c r="P428" i="5"/>
  <c r="R428" i="5" s="1"/>
  <c r="P542" i="5"/>
  <c r="P347" i="5"/>
  <c r="Q347" i="5" s="1"/>
  <c r="P545" i="5"/>
  <c r="R545" i="5" s="1"/>
  <c r="P540" i="5"/>
  <c r="Q540" i="5" s="1"/>
  <c r="P253" i="5"/>
  <c r="Q253" i="5" s="1"/>
  <c r="P554" i="5"/>
  <c r="R554" i="5" s="1"/>
  <c r="P481" i="5"/>
  <c r="R481" i="5" s="1"/>
  <c r="P272" i="5"/>
  <c r="Q272" i="5" s="1"/>
  <c r="P331" i="5"/>
  <c r="Q331" i="5" s="1"/>
  <c r="P326" i="5"/>
  <c r="Q326" i="5" s="1"/>
  <c r="P92" i="5"/>
  <c r="Q92" i="5" s="1"/>
  <c r="P371" i="5"/>
  <c r="Q371" i="5" s="1"/>
  <c r="P183" i="5"/>
  <c r="R183" i="5" s="1"/>
  <c r="P54" i="5"/>
  <c r="R54" i="5" s="1"/>
  <c r="P121" i="5"/>
  <c r="Q121" i="5" s="1"/>
  <c r="P133" i="5"/>
  <c r="Q133" i="5" s="1"/>
  <c r="P186" i="5"/>
  <c r="P224" i="5"/>
  <c r="R224" i="5" s="1"/>
  <c r="P175" i="5"/>
  <c r="Q175" i="5" s="1"/>
  <c r="P32" i="5"/>
  <c r="R32" i="5" s="1"/>
  <c r="P237" i="5"/>
  <c r="R237" i="5" s="1"/>
  <c r="P85" i="5"/>
  <c r="R85" i="5" s="1"/>
  <c r="P82" i="5"/>
  <c r="R82" i="5" s="1"/>
  <c r="P42" i="5"/>
  <c r="Q42" i="5" s="1"/>
  <c r="P49" i="5"/>
  <c r="P214" i="5"/>
  <c r="R214" i="5" s="1"/>
  <c r="P222" i="5"/>
  <c r="Q222" i="5" s="1"/>
  <c r="P496" i="5"/>
  <c r="Q496" i="5" s="1"/>
  <c r="P279" i="5"/>
  <c r="Q279" i="5" s="1"/>
  <c r="P184" i="5"/>
  <c r="Q184" i="5" s="1"/>
  <c r="P119" i="5"/>
  <c r="R119" i="5" s="1"/>
  <c r="P310" i="5"/>
  <c r="R310" i="5" s="1"/>
  <c r="P299" i="5"/>
  <c r="Q299" i="5" s="1"/>
  <c r="P503" i="5"/>
  <c r="Q503" i="5" s="1"/>
  <c r="P425" i="5"/>
  <c r="Q425" i="5" s="1"/>
  <c r="P525" i="5"/>
  <c r="R525" i="5" s="1"/>
  <c r="P491" i="5"/>
  <c r="R491" i="5" s="1"/>
  <c r="P430" i="5"/>
  <c r="Q430" i="5" s="1"/>
  <c r="P397" i="5"/>
  <c r="Q397" i="5" s="1"/>
  <c r="P19" i="5"/>
  <c r="Q19" i="5" s="1"/>
  <c r="P475" i="5"/>
  <c r="P449" i="5"/>
  <c r="Q449" i="5" s="1"/>
  <c r="P547" i="5"/>
  <c r="R547" i="5" s="1"/>
  <c r="P243" i="5"/>
  <c r="R243" i="5" s="1"/>
  <c r="P169" i="5"/>
  <c r="R169" i="5" s="1"/>
  <c r="P152" i="5"/>
  <c r="Q152" i="5" s="1"/>
  <c r="P344" i="5"/>
  <c r="R344" i="5" s="1"/>
  <c r="P535" i="5"/>
  <c r="Q535" i="5" s="1"/>
  <c r="P466" i="5"/>
  <c r="P330" i="5"/>
  <c r="R330" i="5" s="1"/>
  <c r="P510" i="5"/>
  <c r="Q510" i="5" s="1"/>
  <c r="P505" i="5"/>
  <c r="Q505" i="5" s="1"/>
  <c r="P426" i="5"/>
  <c r="Q426" i="5" s="1"/>
  <c r="P349" i="5"/>
  <c r="Q349" i="5" s="1"/>
  <c r="P507" i="5"/>
  <c r="Q507" i="5" s="1"/>
  <c r="P518" i="5"/>
  <c r="Q518" i="5" s="1"/>
  <c r="P153" i="5"/>
  <c r="R153" i="5" s="1"/>
  <c r="P246" i="5"/>
  <c r="R246" i="5" s="1"/>
  <c r="P180" i="5"/>
  <c r="R180" i="5" s="1"/>
  <c r="P160" i="5"/>
  <c r="Q160" i="5" s="1"/>
  <c r="P342" i="5"/>
  <c r="R342" i="5" s="1"/>
  <c r="P336" i="5"/>
  <c r="R336" i="5" s="1"/>
  <c r="P473" i="5"/>
  <c r="R473" i="5" s="1"/>
  <c r="P367" i="5"/>
  <c r="Q367" i="5" s="1"/>
  <c r="P515" i="5"/>
  <c r="P356" i="5"/>
  <c r="Q356" i="5" s="1"/>
  <c r="P451" i="5"/>
  <c r="Q451" i="5" s="1"/>
  <c r="P350" i="5"/>
  <c r="Q350" i="5" s="1"/>
  <c r="P346" i="5"/>
  <c r="Q346" i="5" s="1"/>
  <c r="P536" i="5"/>
  <c r="R536" i="5" s="1"/>
  <c r="P8" i="5"/>
  <c r="R8" i="5" s="1"/>
  <c r="N11" i="5"/>
  <c r="P533" i="5"/>
  <c r="P395" i="5"/>
  <c r="R395" i="5" s="1"/>
  <c r="P378" i="5"/>
  <c r="Q378" i="5" s="1"/>
  <c r="P328" i="5"/>
  <c r="Q328" i="5" s="1"/>
  <c r="P452" i="5"/>
  <c r="R452" i="5" s="1"/>
  <c r="P472" i="5"/>
  <c r="R472" i="5" s="1"/>
  <c r="P403" i="5"/>
  <c r="Q403" i="5" s="1"/>
  <c r="P381" i="5"/>
  <c r="Q381" i="5" s="1"/>
  <c r="P69" i="5"/>
  <c r="Q69" i="5" s="1"/>
  <c r="P429" i="5"/>
  <c r="R429" i="5" s="1"/>
  <c r="P201" i="5"/>
  <c r="Q201" i="5" s="1"/>
  <c r="P247" i="5"/>
  <c r="R247" i="5" s="1"/>
  <c r="P285" i="5"/>
  <c r="Q285" i="5" s="1"/>
  <c r="P396" i="5"/>
  <c r="R396" i="5" s="1"/>
  <c r="P147" i="5"/>
  <c r="R147" i="5" s="1"/>
  <c r="P195" i="5"/>
  <c r="Q195" i="5" s="1"/>
  <c r="P37" i="5"/>
  <c r="P61" i="5"/>
  <c r="Q61" i="5" s="1"/>
  <c r="P248" i="5"/>
  <c r="R248" i="5" s="1"/>
  <c r="P44" i="5"/>
  <c r="R44" i="5" s="1"/>
  <c r="P202" i="5"/>
  <c r="R202" i="5" s="1"/>
  <c r="P320" i="5"/>
  <c r="Q320" i="5" s="1"/>
  <c r="P291" i="5"/>
  <c r="Q291" i="5" s="1"/>
  <c r="P65" i="5"/>
  <c r="Q65" i="5" s="1"/>
  <c r="P210" i="5"/>
  <c r="P81" i="5"/>
  <c r="R81" i="5" s="1"/>
  <c r="P172" i="5"/>
  <c r="R172" i="5" s="1"/>
  <c r="P309" i="5"/>
  <c r="R309" i="5" s="1"/>
  <c r="P219" i="5"/>
  <c r="R219" i="5" s="1"/>
  <c r="P294" i="5"/>
  <c r="Q294" i="5" s="1"/>
  <c r="P267" i="5"/>
  <c r="Q267" i="5" s="1"/>
  <c r="P238" i="5"/>
  <c r="Q238" i="5" s="1"/>
  <c r="P213" i="5"/>
  <c r="Q213" i="5" s="1"/>
  <c r="P365" i="5"/>
  <c r="R365" i="5" s="1"/>
  <c r="P405" i="5"/>
  <c r="Q405" i="5" s="1"/>
  <c r="P487" i="5"/>
  <c r="R487" i="5" s="1"/>
  <c r="P414" i="5"/>
  <c r="R414" i="5" s="1"/>
  <c r="P398" i="5"/>
  <c r="R398" i="5" s="1"/>
  <c r="P372" i="5"/>
  <c r="Q372" i="5" s="1"/>
  <c r="P509" i="5"/>
  <c r="Q509" i="5" s="1"/>
  <c r="P432" i="5"/>
  <c r="P384" i="5"/>
  <c r="Q384" i="5" s="1"/>
  <c r="P556" i="5"/>
  <c r="R556" i="5" s="1"/>
  <c r="U38" i="8"/>
  <c r="W38" i="8"/>
  <c r="X38" i="8" s="1"/>
  <c r="U102" i="8"/>
  <c r="W102" i="8"/>
  <c r="Y102" i="8" s="1"/>
  <c r="AR102" i="8" s="1"/>
  <c r="AT102" i="8"/>
  <c r="Z331" i="5"/>
  <c r="B234" i="3"/>
  <c r="B114" i="3"/>
  <c r="AA431" i="5"/>
  <c r="AE128" i="8"/>
  <c r="X108" i="8"/>
  <c r="AE107" i="8"/>
  <c r="AE23" i="8"/>
  <c r="Z23" i="8"/>
  <c r="AN23" i="8" s="1"/>
  <c r="AA23" i="8"/>
  <c r="AE95" i="8"/>
  <c r="AA95" i="8"/>
  <c r="Z95" i="8"/>
  <c r="AN95" i="8" s="1"/>
  <c r="AE127" i="8"/>
  <c r="AA127" i="8"/>
  <c r="Z127" i="8"/>
  <c r="AN127" i="8" s="1"/>
  <c r="AE100" i="8"/>
  <c r="AE15" i="8"/>
  <c r="AA15" i="8"/>
  <c r="Z15" i="8"/>
  <c r="AN15" i="8" s="1"/>
  <c r="X96" i="8"/>
  <c r="X157" i="8"/>
  <c r="AE44" i="8"/>
  <c r="AA44" i="8"/>
  <c r="Z44" i="8"/>
  <c r="AN44" i="8" s="1"/>
  <c r="AE122" i="8"/>
  <c r="Z122" i="8"/>
  <c r="AN122" i="8" s="1"/>
  <c r="AA122" i="8"/>
  <c r="X83" i="8"/>
  <c r="AE32" i="8"/>
  <c r="AA32" i="8"/>
  <c r="Z32" i="8"/>
  <c r="AN32" i="8" s="1"/>
  <c r="X43" i="8"/>
  <c r="X65" i="8"/>
  <c r="X23" i="8"/>
  <c r="X131" i="8"/>
  <c r="X95" i="8"/>
  <c r="X127" i="8"/>
  <c r="X15" i="8"/>
  <c r="AE117" i="8"/>
  <c r="AA117" i="8"/>
  <c r="Z117" i="8"/>
  <c r="AN117" i="8" s="1"/>
  <c r="AE97" i="8"/>
  <c r="AE87" i="8"/>
  <c r="X119" i="8"/>
  <c r="AE56" i="8"/>
  <c r="AE135" i="8"/>
  <c r="AE111" i="8"/>
  <c r="AA111" i="8"/>
  <c r="Z111" i="8"/>
  <c r="AN111" i="8" s="1"/>
  <c r="X53" i="8"/>
  <c r="X85" i="8"/>
  <c r="Y157" i="8"/>
  <c r="AR157" i="8" s="1"/>
  <c r="X118" i="8"/>
  <c r="X75" i="8"/>
  <c r="X32" i="8"/>
  <c r="AE43" i="8"/>
  <c r="X128" i="8"/>
  <c r="X107" i="8"/>
  <c r="X97" i="8"/>
  <c r="X87" i="8"/>
  <c r="AE119" i="8"/>
  <c r="X56" i="8"/>
  <c r="X29" i="8"/>
  <c r="AA8" i="8"/>
  <c r="X135" i="8"/>
  <c r="X94" i="8"/>
  <c r="AE53" i="8"/>
  <c r="AE47" i="8"/>
  <c r="X70" i="8"/>
  <c r="Z152" i="8"/>
  <c r="AN152" i="8" s="1"/>
  <c r="X82" i="8"/>
  <c r="AE66" i="8"/>
  <c r="Z66" i="8"/>
  <c r="AN66" i="8" s="1"/>
  <c r="AA66" i="8"/>
  <c r="AE103" i="8"/>
  <c r="AA103" i="8"/>
  <c r="Z103" i="8"/>
  <c r="AN103" i="8" s="1"/>
  <c r="AE26" i="8"/>
  <c r="Z26" i="8"/>
  <c r="AN26" i="8" s="1"/>
  <c r="AA26" i="8"/>
  <c r="X36" i="8"/>
  <c r="X122" i="8"/>
  <c r="Y83" i="8"/>
  <c r="AR83" i="8" s="1"/>
  <c r="Y43" i="8"/>
  <c r="AR43" i="8" s="1"/>
  <c r="P10" i="5"/>
  <c r="Q10" i="5" s="1"/>
  <c r="P552" i="5"/>
  <c r="R552" i="5" s="1"/>
  <c r="P511" i="5"/>
  <c r="Q511" i="5" s="1"/>
  <c r="P280" i="5"/>
  <c r="R280" i="5" s="1"/>
  <c r="P493" i="5"/>
  <c r="R493" i="5" s="1"/>
  <c r="P513" i="5"/>
  <c r="Q513" i="5" s="1"/>
  <c r="P208" i="5"/>
  <c r="R208" i="5" s="1"/>
  <c r="P492" i="5"/>
  <c r="R492" i="5" s="1"/>
  <c r="P314" i="5"/>
  <c r="Q314" i="5" s="1"/>
  <c r="P499" i="5"/>
  <c r="R499" i="5" s="1"/>
  <c r="P500" i="5"/>
  <c r="Q500" i="5" s="1"/>
  <c r="P539" i="5"/>
  <c r="Q539" i="5" s="1"/>
  <c r="P138" i="5"/>
  <c r="Q138" i="5" s="1"/>
  <c r="P301" i="5"/>
  <c r="Q301" i="5" s="1"/>
  <c r="P410" i="5"/>
  <c r="R410" i="5" s="1"/>
  <c r="P170" i="5"/>
  <c r="R170" i="5" s="1"/>
  <c r="P339" i="5"/>
  <c r="R339" i="5" s="1"/>
  <c r="P249" i="5"/>
  <c r="R249" i="5" s="1"/>
  <c r="P311" i="5"/>
  <c r="Q311" i="5" s="1"/>
  <c r="P150" i="5"/>
  <c r="R150" i="5" s="1"/>
  <c r="P288" i="5"/>
  <c r="Q288" i="5" s="1"/>
  <c r="P187" i="5"/>
  <c r="Q187" i="5" s="1"/>
  <c r="P319" i="5"/>
  <c r="R319" i="5" s="1"/>
  <c r="P232" i="5"/>
  <c r="R232" i="5" s="1"/>
  <c r="P122" i="5"/>
  <c r="Q122" i="5" s="1"/>
  <c r="P209" i="5"/>
  <c r="R209" i="5" s="1"/>
  <c r="P52" i="5"/>
  <c r="R52" i="5" s="1"/>
  <c r="P228" i="5"/>
  <c r="R228" i="5" s="1"/>
  <c r="P91" i="5"/>
  <c r="Q91" i="5" s="1"/>
  <c r="P190" i="5"/>
  <c r="R190" i="5" s="1"/>
  <c r="P216" i="5"/>
  <c r="Q216" i="5" s="1"/>
  <c r="P106" i="5"/>
  <c r="Q106" i="5" s="1"/>
  <c r="P38" i="5"/>
  <c r="R38" i="5" s="1"/>
  <c r="P189" i="5"/>
  <c r="R189" i="5" s="1"/>
  <c r="P529" i="5"/>
  <c r="R529" i="5" s="1"/>
  <c r="P131" i="5"/>
  <c r="R131" i="5" s="1"/>
  <c r="P192" i="5"/>
  <c r="R192" i="5" s="1"/>
  <c r="P99" i="5"/>
  <c r="Q99" i="5" s="1"/>
  <c r="P151" i="5"/>
  <c r="Q151" i="5" s="1"/>
  <c r="P66" i="5"/>
  <c r="R66" i="5" s="1"/>
  <c r="P26" i="5"/>
  <c r="R26" i="5" s="1"/>
  <c r="P76" i="5"/>
  <c r="R76" i="5" s="1"/>
  <c r="P322" i="5"/>
  <c r="R322" i="5" s="1"/>
  <c r="P181" i="5"/>
  <c r="R181" i="5" s="1"/>
  <c r="P257" i="5"/>
  <c r="Q257" i="5" s="1"/>
  <c r="P134" i="5"/>
  <c r="Q134" i="5" s="1"/>
  <c r="P227" i="5"/>
  <c r="Q227" i="5" s="1"/>
  <c r="P123" i="5"/>
  <c r="R123" i="5" s="1"/>
  <c r="P127" i="5"/>
  <c r="Q127" i="5" s="1"/>
  <c r="P266" i="5"/>
  <c r="R266" i="5" s="1"/>
  <c r="P144" i="5"/>
  <c r="R144" i="5" s="1"/>
  <c r="P258" i="5"/>
  <c r="R258" i="5" s="1"/>
  <c r="P176" i="5"/>
  <c r="Q176" i="5" s="1"/>
  <c r="P300" i="5"/>
  <c r="R300" i="5" s="1"/>
  <c r="P404" i="5"/>
  <c r="Q404" i="5" s="1"/>
  <c r="P333" i="5"/>
  <c r="R333" i="5" s="1"/>
  <c r="P423" i="5"/>
  <c r="R423" i="5" s="1"/>
  <c r="P486" i="5"/>
  <c r="Q486" i="5" s="1"/>
  <c r="P553" i="5"/>
  <c r="R553" i="5" s="1"/>
  <c r="P456" i="5"/>
  <c r="Q456" i="5" s="1"/>
  <c r="P522" i="5"/>
  <c r="Q522" i="5" s="1"/>
  <c r="P435" i="5"/>
  <c r="R435" i="5" s="1"/>
  <c r="P376" i="5"/>
  <c r="Q376" i="5" s="1"/>
  <c r="P440" i="5"/>
  <c r="R440" i="5" s="1"/>
  <c r="P537" i="5"/>
  <c r="R537" i="5" s="1"/>
  <c r="P420" i="5"/>
  <c r="Q420" i="5" s="1"/>
  <c r="P495" i="5"/>
  <c r="Q495" i="5" s="1"/>
  <c r="P407" i="5"/>
  <c r="R407" i="5" s="1"/>
  <c r="P544" i="5"/>
  <c r="R544" i="5" s="1"/>
  <c r="Y128" i="8"/>
  <c r="AR128" i="8" s="1"/>
  <c r="Y107" i="8"/>
  <c r="AR107" i="8" s="1"/>
  <c r="Y65" i="8"/>
  <c r="AR65" i="8" s="1"/>
  <c r="X117" i="8"/>
  <c r="Y97" i="8"/>
  <c r="AR97" i="8" s="1"/>
  <c r="Y119" i="8"/>
  <c r="AR119" i="8" s="1"/>
  <c r="Y135" i="8"/>
  <c r="AR135" i="8" s="1"/>
  <c r="X113" i="8"/>
  <c r="Y53" i="8"/>
  <c r="AR53" i="8" s="1"/>
  <c r="X18" i="8"/>
  <c r="X79" i="8"/>
  <c r="AE82" i="8"/>
  <c r="X66" i="8"/>
  <c r="X26" i="8"/>
  <c r="AE151" i="8"/>
  <c r="AE16" i="8"/>
  <c r="AE130" i="8"/>
  <c r="Z130" i="8"/>
  <c r="AN130" i="8" s="1"/>
  <c r="AA130" i="8"/>
  <c r="AE139" i="8"/>
  <c r="AE80" i="8"/>
  <c r="AA106" i="8"/>
  <c r="AE106" i="8"/>
  <c r="Z106" i="8"/>
  <c r="AN106" i="8" s="1"/>
  <c r="X61" i="8"/>
  <c r="AE27" i="8"/>
  <c r="Z27" i="8"/>
  <c r="AN27" i="8" s="1"/>
  <c r="AA27" i="8"/>
  <c r="AE146" i="8"/>
  <c r="AE148" i="8"/>
  <c r="AE57" i="8"/>
  <c r="AE72" i="8"/>
  <c r="AE50" i="8"/>
  <c r="AA50" i="8"/>
  <c r="Z50" i="8"/>
  <c r="AN50" i="8" s="1"/>
  <c r="AE30" i="8"/>
  <c r="Y132" i="8"/>
  <c r="AR132" i="8" s="1"/>
  <c r="Y87" i="8"/>
  <c r="AR87" i="8" s="1"/>
  <c r="Y56" i="8"/>
  <c r="AR56" i="8" s="1"/>
  <c r="Y29" i="8"/>
  <c r="AR29" i="8" s="1"/>
  <c r="Y94" i="8"/>
  <c r="AR94" i="8" s="1"/>
  <c r="X111" i="8"/>
  <c r="X88" i="8"/>
  <c r="X151" i="8"/>
  <c r="X16" i="8"/>
  <c r="X145" i="8"/>
  <c r="X139" i="8"/>
  <c r="X80" i="8"/>
  <c r="X51" i="8"/>
  <c r="AE116" i="8"/>
  <c r="AA116" i="8"/>
  <c r="Z116" i="8"/>
  <c r="AN116" i="8" s="1"/>
  <c r="X11" i="8"/>
  <c r="P439" i="5"/>
  <c r="R439" i="5" s="1"/>
  <c r="P465" i="5"/>
  <c r="R465" i="5" s="1"/>
  <c r="P231" i="5"/>
  <c r="R231" i="5" s="1"/>
  <c r="P460" i="5"/>
  <c r="Q460" i="5" s="1"/>
  <c r="P477" i="5"/>
  <c r="R477" i="5" s="1"/>
  <c r="P467" i="5"/>
  <c r="R467" i="5" s="1"/>
  <c r="P490" i="5"/>
  <c r="Q490" i="5" s="1"/>
  <c r="P117" i="5"/>
  <c r="P436" i="5"/>
  <c r="Q436" i="5" s="1"/>
  <c r="P488" i="5"/>
  <c r="Q488" i="5" s="1"/>
  <c r="P480" i="5"/>
  <c r="R480" i="5" s="1"/>
  <c r="P51" i="5"/>
  <c r="R51" i="5" s="1"/>
  <c r="P259" i="5"/>
  <c r="Q259" i="5" s="1"/>
  <c r="P419" i="5"/>
  <c r="R419" i="5" s="1"/>
  <c r="P74" i="5"/>
  <c r="R74" i="5" s="1"/>
  <c r="P324" i="5"/>
  <c r="R324" i="5" s="1"/>
  <c r="P178" i="5"/>
  <c r="Q178" i="5" s="1"/>
  <c r="P290" i="5"/>
  <c r="R290" i="5" s="1"/>
  <c r="P388" i="5"/>
  <c r="R388" i="5" s="1"/>
  <c r="P281" i="5"/>
  <c r="P78" i="5"/>
  <c r="R78" i="5" s="1"/>
  <c r="P265" i="5"/>
  <c r="Q265" i="5" s="1"/>
  <c r="P163" i="5"/>
  <c r="Q163" i="5" s="1"/>
  <c r="P105" i="5"/>
  <c r="R105" i="5" s="1"/>
  <c r="P223" i="5"/>
  <c r="R223" i="5" s="1"/>
  <c r="P20" i="5"/>
  <c r="R20" i="5" s="1"/>
  <c r="P196" i="5"/>
  <c r="Q196" i="5" s="1"/>
  <c r="P35" i="5"/>
  <c r="R35" i="5" s="1"/>
  <c r="P156" i="5"/>
  <c r="R156" i="5" s="1"/>
  <c r="P212" i="5"/>
  <c r="Q212" i="5" s="1"/>
  <c r="P102" i="5"/>
  <c r="R102" i="5" s="1"/>
  <c r="P109" i="5"/>
  <c r="R109" i="5" s="1"/>
  <c r="P278" i="5"/>
  <c r="Q278" i="5" s="1"/>
  <c r="P40" i="5"/>
  <c r="Q40" i="5" s="1"/>
  <c r="P55" i="5"/>
  <c r="R55" i="5" s="1"/>
  <c r="P41" i="5"/>
  <c r="R41" i="5" s="1"/>
  <c r="P111" i="5"/>
  <c r="Q111" i="5" s="1"/>
  <c r="P47" i="5"/>
  <c r="R47" i="5" s="1"/>
  <c r="P104" i="5"/>
  <c r="Q104" i="5" s="1"/>
  <c r="P73" i="5"/>
  <c r="Q73" i="5" s="1"/>
  <c r="P94" i="5"/>
  <c r="Q94" i="5" s="1"/>
  <c r="P132" i="5"/>
  <c r="R132" i="5" s="1"/>
  <c r="P218" i="5"/>
  <c r="Q218" i="5" s="1"/>
  <c r="P286" i="5"/>
  <c r="P145" i="5"/>
  <c r="Q145" i="5" s="1"/>
  <c r="P261" i="5"/>
  <c r="R261" i="5" s="1"/>
  <c r="P161" i="5"/>
  <c r="R161" i="5" s="1"/>
  <c r="P188" i="5"/>
  <c r="Q188" i="5" s="1"/>
  <c r="P292" i="5"/>
  <c r="R292" i="5" s="1"/>
  <c r="P173" i="5"/>
  <c r="Q173" i="5" s="1"/>
  <c r="P302" i="5"/>
  <c r="Q302" i="5" s="1"/>
  <c r="P193" i="5"/>
  <c r="Q193" i="5" s="1"/>
  <c r="P325" i="5"/>
  <c r="R325" i="5" s="1"/>
  <c r="P431" i="5"/>
  <c r="R431" i="5" s="1"/>
  <c r="P337" i="5"/>
  <c r="R337" i="5" s="1"/>
  <c r="P437" i="5"/>
  <c r="R437" i="5" s="1"/>
  <c r="P498" i="5"/>
  <c r="Q498" i="5" s="1"/>
  <c r="P338" i="5"/>
  <c r="Q338" i="5" s="1"/>
  <c r="P476" i="5"/>
  <c r="Q476" i="5" s="1"/>
  <c r="P551" i="5"/>
  <c r="R551" i="5" s="1"/>
  <c r="P497" i="5"/>
  <c r="Q497" i="5" s="1"/>
  <c r="P387" i="5"/>
  <c r="Q387" i="5" s="1"/>
  <c r="P455" i="5"/>
  <c r="R455" i="5" s="1"/>
  <c r="P334" i="5"/>
  <c r="Q334" i="5" s="1"/>
  <c r="P445" i="5"/>
  <c r="R445" i="5" s="1"/>
  <c r="P527" i="5"/>
  <c r="R527" i="5" s="1"/>
  <c r="P434" i="5"/>
  <c r="R434" i="5" s="1"/>
  <c r="P550" i="5"/>
  <c r="R550" i="5" s="1"/>
  <c r="X106" i="8"/>
  <c r="AE61" i="8"/>
  <c r="X24" i="8"/>
  <c r="X27" i="8"/>
  <c r="X146" i="8"/>
  <c r="X148" i="8"/>
  <c r="X57" i="8"/>
  <c r="X124" i="8"/>
  <c r="X72" i="8"/>
  <c r="X50" i="8"/>
  <c r="X30" i="8"/>
  <c r="AE136" i="8"/>
  <c r="X114" i="8"/>
  <c r="X98" i="8"/>
  <c r="AE155" i="8"/>
  <c r="Z155" i="8"/>
  <c r="AN155" i="8" s="1"/>
  <c r="AA155" i="8"/>
  <c r="X54" i="8"/>
  <c r="AE129" i="8"/>
  <c r="AE109" i="8"/>
  <c r="AA109" i="8"/>
  <c r="Z109" i="8"/>
  <c r="AN109" i="8" s="1"/>
  <c r="AE90" i="8"/>
  <c r="X74" i="8"/>
  <c r="Z112" i="8"/>
  <c r="AN112" i="8" s="1"/>
  <c r="AE112" i="8"/>
  <c r="AA112" i="8"/>
  <c r="AE55" i="8"/>
  <c r="AA55" i="8"/>
  <c r="Z55" i="8"/>
  <c r="AN55" i="8" s="1"/>
  <c r="Y79" i="8"/>
  <c r="AR79" i="8" s="1"/>
  <c r="Y70" i="8"/>
  <c r="AR70" i="8" s="1"/>
  <c r="X152" i="8"/>
  <c r="Y82" i="8"/>
  <c r="AR82" i="8" s="1"/>
  <c r="X103" i="8"/>
  <c r="Y36" i="8"/>
  <c r="AR36" i="8" s="1"/>
  <c r="Y151" i="8"/>
  <c r="AR151" i="8" s="1"/>
  <c r="Y16" i="8"/>
  <c r="AR16" i="8" s="1"/>
  <c r="X130" i="8"/>
  <c r="Y51" i="8"/>
  <c r="AR51" i="8" s="1"/>
  <c r="X116" i="8"/>
  <c r="X67" i="8"/>
  <c r="Y61" i="8"/>
  <c r="AR61" i="8" s="1"/>
  <c r="X136" i="8"/>
  <c r="AE114" i="8"/>
  <c r="AE98" i="8"/>
  <c r="X155" i="8"/>
  <c r="X81" i="8"/>
  <c r="X129" i="8"/>
  <c r="AE74" i="8"/>
  <c r="X112" i="8"/>
  <c r="X55" i="8"/>
  <c r="Z147" i="8"/>
  <c r="AN147" i="8" s="1"/>
  <c r="AE58" i="8"/>
  <c r="Z58" i="8"/>
  <c r="AN58" i="8" s="1"/>
  <c r="AA58" i="8"/>
  <c r="X7" i="8"/>
  <c r="X138" i="8"/>
  <c r="AE96" i="8"/>
  <c r="AE63" i="8"/>
  <c r="AA63" i="8"/>
  <c r="Z63" i="8"/>
  <c r="AN63" i="8" s="1"/>
  <c r="X10" i="8"/>
  <c r="Y145" i="8"/>
  <c r="AR145" i="8" s="1"/>
  <c r="Y139" i="8"/>
  <c r="AR139" i="8" s="1"/>
  <c r="Y80" i="8"/>
  <c r="AR80" i="8" s="1"/>
  <c r="B126" i="3"/>
  <c r="P335" i="5"/>
  <c r="R335" i="5" s="1"/>
  <c r="P416" i="5"/>
  <c r="R416" i="5" s="1"/>
  <c r="P274" i="5"/>
  <c r="Q274" i="5" s="1"/>
  <c r="P501" i="5"/>
  <c r="R501" i="5" s="1"/>
  <c r="P357" i="5"/>
  <c r="R357" i="5" s="1"/>
  <c r="P558" i="5"/>
  <c r="Q558" i="5" s="1"/>
  <c r="P459" i="5"/>
  <c r="R459" i="5" s="1"/>
  <c r="P323" i="5"/>
  <c r="R323" i="5" s="1"/>
  <c r="P364" i="5"/>
  <c r="Q364" i="5" s="1"/>
  <c r="P427" i="5"/>
  <c r="R427" i="5" s="1"/>
  <c r="P464" i="5"/>
  <c r="R464" i="5" s="1"/>
  <c r="P369" i="5"/>
  <c r="R369" i="5" s="1"/>
  <c r="P171" i="5"/>
  <c r="Q171" i="5" s="1"/>
  <c r="P360" i="5"/>
  <c r="Q360" i="5" s="1"/>
  <c r="P45" i="5"/>
  <c r="R45" i="5" s="1"/>
  <c r="P359" i="5"/>
  <c r="Q359" i="5" s="1"/>
  <c r="P71" i="5"/>
  <c r="R71" i="5" s="1"/>
  <c r="P271" i="5"/>
  <c r="Q271" i="5" s="1"/>
  <c r="P391" i="5"/>
  <c r="Q391" i="5" s="1"/>
  <c r="P283" i="5"/>
  <c r="R283" i="5" s="1"/>
  <c r="P447" i="5"/>
  <c r="R447" i="5" s="1"/>
  <c r="P88" i="5"/>
  <c r="Q88" i="5" s="1"/>
  <c r="P166" i="5"/>
  <c r="Q166" i="5" s="1"/>
  <c r="P62" i="5"/>
  <c r="R62" i="5" s="1"/>
  <c r="P129" i="5"/>
  <c r="Q129" i="5" s="1"/>
  <c r="P67" i="5"/>
  <c r="R67" i="5" s="1"/>
  <c r="P154" i="5"/>
  <c r="R154" i="5" s="1"/>
  <c r="P256" i="5"/>
  <c r="Q256" i="5" s="1"/>
  <c r="P97" i="5"/>
  <c r="Q97" i="5" s="1"/>
  <c r="P155" i="5"/>
  <c r="R155" i="5" s="1"/>
  <c r="P60" i="5"/>
  <c r="R60" i="5" s="1"/>
  <c r="P96" i="5"/>
  <c r="R96" i="5" s="1"/>
  <c r="P103" i="5"/>
  <c r="Q103" i="5" s="1"/>
  <c r="P206" i="5"/>
  <c r="R206" i="5" s="1"/>
  <c r="P101" i="5"/>
  <c r="R101" i="5" s="1"/>
  <c r="P63" i="5"/>
  <c r="Q63" i="5" s="1"/>
  <c r="P142" i="5"/>
  <c r="Q142" i="5" s="1"/>
  <c r="P25" i="5"/>
  <c r="Q25" i="5" s="1"/>
  <c r="P112" i="5"/>
  <c r="R112" i="5" s="1"/>
  <c r="P33" i="5"/>
  <c r="Q33" i="5" s="1"/>
  <c r="P120" i="5"/>
  <c r="R120" i="5" s="1"/>
  <c r="P148" i="5"/>
  <c r="Q148" i="5" s="1"/>
  <c r="P226" i="5"/>
  <c r="Q226" i="5" s="1"/>
  <c r="P317" i="5"/>
  <c r="R317" i="5" s="1"/>
  <c r="P158" i="5"/>
  <c r="R158" i="5" s="1"/>
  <c r="P276" i="5"/>
  <c r="Q276" i="5" s="1"/>
  <c r="P233" i="5"/>
  <c r="R233" i="5" s="1"/>
  <c r="P221" i="5"/>
  <c r="Q221" i="5" s="1"/>
  <c r="P468" i="5"/>
  <c r="Q468" i="5" s="1"/>
  <c r="P198" i="5"/>
  <c r="Q198" i="5" s="1"/>
  <c r="P433" i="5"/>
  <c r="R433" i="5" s="1"/>
  <c r="P225" i="5"/>
  <c r="R225" i="5" s="1"/>
  <c r="P448" i="5"/>
  <c r="Q448" i="5" s="1"/>
  <c r="P474" i="5"/>
  <c r="R474" i="5" s="1"/>
  <c r="P393" i="5"/>
  <c r="R393" i="5" s="1"/>
  <c r="P463" i="5"/>
  <c r="R463" i="5" s="1"/>
  <c r="P512" i="5"/>
  <c r="Q512" i="5" s="1"/>
  <c r="P375" i="5"/>
  <c r="Q375" i="5" s="1"/>
  <c r="P494" i="5"/>
  <c r="Q494" i="5" s="1"/>
  <c r="P399" i="5"/>
  <c r="Q399" i="5" s="1"/>
  <c r="P348" i="5"/>
  <c r="R348" i="5" s="1"/>
  <c r="P394" i="5"/>
  <c r="Q394" i="5" s="1"/>
  <c r="P482" i="5"/>
  <c r="R482" i="5" s="1"/>
  <c r="P345" i="5"/>
  <c r="R345" i="5" s="1"/>
  <c r="P461" i="5"/>
  <c r="R461" i="5" s="1"/>
  <c r="P353" i="5"/>
  <c r="R353" i="5" s="1"/>
  <c r="P450" i="5"/>
  <c r="R450" i="5" s="1"/>
  <c r="Y156" i="8"/>
  <c r="AR156" i="8" s="1"/>
  <c r="X93" i="8"/>
  <c r="Y146" i="8"/>
  <c r="AR146" i="8" s="1"/>
  <c r="Y148" i="8"/>
  <c r="AR148" i="8" s="1"/>
  <c r="Y57" i="8"/>
  <c r="AR57" i="8" s="1"/>
  <c r="Y124" i="8"/>
  <c r="AR124" i="8" s="1"/>
  <c r="Y72" i="8"/>
  <c r="AR72" i="8" s="1"/>
  <c r="Y30" i="8"/>
  <c r="AR30" i="8" s="1"/>
  <c r="Y136" i="8"/>
  <c r="AR136" i="8" s="1"/>
  <c r="X123" i="8"/>
  <c r="Y114" i="8"/>
  <c r="AR114" i="8" s="1"/>
  <c r="Y98" i="8"/>
  <c r="AR98" i="8" s="1"/>
  <c r="Y81" i="8"/>
  <c r="AR81" i="8" s="1"/>
  <c r="Y129" i="8"/>
  <c r="AR129" i="8" s="1"/>
  <c r="X109" i="8"/>
  <c r="Y74" i="8"/>
  <c r="AR74" i="8" s="1"/>
  <c r="X147" i="8"/>
  <c r="X99" i="8"/>
  <c r="X58" i="8"/>
  <c r="X92" i="8"/>
  <c r="X48" i="8"/>
  <c r="AE7" i="8"/>
  <c r="AA7" i="8"/>
  <c r="Z7" i="8"/>
  <c r="AN7" i="8" s="1"/>
  <c r="Y96" i="8"/>
  <c r="AR96" i="8" s="1"/>
  <c r="X63" i="8"/>
  <c r="AE157" i="8"/>
  <c r="AE120" i="8"/>
  <c r="AE118" i="8"/>
  <c r="AA118" i="8"/>
  <c r="Z118" i="8"/>
  <c r="AN118" i="8" s="1"/>
  <c r="AE39" i="8"/>
  <c r="X44" i="8"/>
  <c r="Y11" i="8"/>
  <c r="AR11" i="8" s="1"/>
  <c r="B216" i="3"/>
  <c r="AH64" i="8" s="1"/>
  <c r="Z491" i="5"/>
  <c r="AA232" i="5"/>
  <c r="Z56" i="5"/>
  <c r="AA542" i="5"/>
  <c r="Z195" i="5"/>
  <c r="Z121" i="5"/>
  <c r="AA283" i="5"/>
  <c r="Z524" i="5"/>
  <c r="AA323" i="5"/>
  <c r="AA557" i="5"/>
  <c r="AA375" i="5"/>
  <c r="AA250" i="5"/>
  <c r="AJ39" i="6"/>
  <c r="AJ125" i="6"/>
  <c r="AJ147" i="6"/>
  <c r="AA538" i="5"/>
  <c r="Y65" i="6"/>
  <c r="AR65" i="6" s="1"/>
  <c r="AJ95" i="6"/>
  <c r="AJ111" i="6"/>
  <c r="AJ109" i="6"/>
  <c r="Z128" i="5"/>
  <c r="Y63" i="6"/>
  <c r="AR63" i="6" s="1"/>
  <c r="AA28" i="6"/>
  <c r="AQ28" i="6" s="1"/>
  <c r="AJ45" i="6"/>
  <c r="AR32" i="6"/>
  <c r="AA32" i="6"/>
  <c r="AQ32" i="6" s="1"/>
  <c r="Y109" i="6"/>
  <c r="AR109" i="6" s="1"/>
  <c r="Y156" i="6"/>
  <c r="AR156" i="6" s="1"/>
  <c r="Y42" i="6"/>
  <c r="AR42" i="6" s="1"/>
  <c r="Y60" i="6"/>
  <c r="AR60" i="6" s="1"/>
  <c r="Y93" i="6"/>
  <c r="AR93" i="6" s="1"/>
  <c r="Y76" i="6"/>
  <c r="AR76" i="6" s="1"/>
  <c r="Y69" i="6"/>
  <c r="AR69" i="6" s="1"/>
  <c r="Y101" i="6"/>
  <c r="AR101" i="6" s="1"/>
  <c r="Y136" i="6"/>
  <c r="AR136" i="6" s="1"/>
  <c r="Y138" i="6"/>
  <c r="AR138" i="6" s="1"/>
  <c r="Y107" i="6"/>
  <c r="AR107" i="6" s="1"/>
  <c r="Y118" i="6"/>
  <c r="AR118" i="6" s="1"/>
  <c r="Y81" i="6"/>
  <c r="AR81" i="6" s="1"/>
  <c r="Y77" i="6"/>
  <c r="AR77" i="6" s="1"/>
  <c r="Y153" i="6"/>
  <c r="AR153" i="6" s="1"/>
  <c r="Y59" i="6"/>
  <c r="AR59" i="6" s="1"/>
  <c r="Y124" i="6"/>
  <c r="AR124" i="6" s="1"/>
  <c r="Z86" i="5"/>
  <c r="Z417" i="5"/>
  <c r="Y95" i="6"/>
  <c r="AR95" i="6" s="1"/>
  <c r="Y126" i="6"/>
  <c r="AR126" i="6" s="1"/>
  <c r="Y131" i="6"/>
  <c r="AR131" i="6" s="1"/>
  <c r="Y45" i="6"/>
  <c r="AR45" i="6" s="1"/>
  <c r="Y39" i="6"/>
  <c r="AR39" i="6" s="1"/>
  <c r="Y106" i="6"/>
  <c r="AR106" i="6" s="1"/>
  <c r="Y75" i="6"/>
  <c r="AR75" i="6" s="1"/>
  <c r="Y111" i="6"/>
  <c r="AR111" i="6" s="1"/>
  <c r="Y125" i="6"/>
  <c r="AR125" i="6" s="1"/>
  <c r="Y113" i="6"/>
  <c r="AR113" i="6" s="1"/>
  <c r="Y147" i="6"/>
  <c r="AR147" i="6" s="1"/>
  <c r="Y133" i="6"/>
  <c r="AR133" i="6" s="1"/>
  <c r="Y120" i="6"/>
  <c r="AR120" i="6" s="1"/>
  <c r="Y122" i="6"/>
  <c r="AR122" i="6" s="1"/>
  <c r="Y91" i="6"/>
  <c r="AR91" i="6" s="1"/>
  <c r="Y72" i="6"/>
  <c r="AR72" i="6" s="1"/>
  <c r="Y74" i="6"/>
  <c r="AR74" i="6" s="1"/>
  <c r="Y92" i="6"/>
  <c r="AR92" i="6" s="1"/>
  <c r="Y80" i="6"/>
  <c r="AR80" i="6" s="1"/>
  <c r="Y148" i="6"/>
  <c r="AR148" i="6" s="1"/>
  <c r="AJ127" i="6"/>
  <c r="AJ74" i="6"/>
  <c r="AJ92" i="6"/>
  <c r="AE31" i="6"/>
  <c r="Z31" i="6"/>
  <c r="AE109" i="6"/>
  <c r="AE42" i="6"/>
  <c r="AE76" i="6"/>
  <c r="AE69" i="6"/>
  <c r="AE65" i="6"/>
  <c r="AE84" i="6"/>
  <c r="AE136" i="6"/>
  <c r="AE73" i="6"/>
  <c r="AE138" i="6"/>
  <c r="AE28" i="6"/>
  <c r="Z28" i="6"/>
  <c r="AE118" i="6"/>
  <c r="AE16" i="6"/>
  <c r="Z16" i="6"/>
  <c r="AE77" i="6"/>
  <c r="AE124" i="6"/>
  <c r="AJ112" i="6"/>
  <c r="AJ93" i="6"/>
  <c r="AJ134" i="6"/>
  <c r="AJ76" i="6"/>
  <c r="AA31" i="6"/>
  <c r="AQ31" i="6" s="1"/>
  <c r="AJ65" i="6"/>
  <c r="AJ84" i="6"/>
  <c r="AJ71" i="6"/>
  <c r="AJ136" i="6"/>
  <c r="AJ73" i="6"/>
  <c r="AJ138" i="6"/>
  <c r="AJ118" i="6"/>
  <c r="AJ77" i="6"/>
  <c r="AJ124" i="6"/>
  <c r="AE95" i="6"/>
  <c r="AE32" i="6"/>
  <c r="Z32" i="6"/>
  <c r="AE126" i="6"/>
  <c r="AE131" i="6"/>
  <c r="AE39" i="6"/>
  <c r="AE111" i="6"/>
  <c r="AE125" i="6"/>
  <c r="AE50" i="6"/>
  <c r="AE147" i="6"/>
  <c r="AE55" i="6"/>
  <c r="AE122" i="6"/>
  <c r="AE91" i="6"/>
  <c r="AE127" i="6"/>
  <c r="AE74" i="6"/>
  <c r="AE92" i="6"/>
  <c r="AJ55" i="6"/>
  <c r="AJ122" i="6"/>
  <c r="AJ91" i="6"/>
  <c r="B145" i="3"/>
  <c r="B147" i="3" s="1"/>
  <c r="BC10" i="5"/>
  <c r="B15" i="5"/>
  <c r="B35" i="5" s="1"/>
  <c r="B68" i="5"/>
  <c r="AF507" i="5" s="1"/>
  <c r="B149" i="3"/>
  <c r="B153" i="3" s="1"/>
  <c r="Y7" i="5" s="1"/>
  <c r="AA7" i="5" s="1"/>
  <c r="B131" i="3"/>
  <c r="B132" i="3" s="1"/>
  <c r="R304" i="5"/>
  <c r="Q478" i="5"/>
  <c r="R478" i="5"/>
  <c r="Q340" i="5"/>
  <c r="R340" i="5"/>
  <c r="R191" i="5"/>
  <c r="Q191" i="5"/>
  <c r="R284" i="5"/>
  <c r="Q284" i="5"/>
  <c r="R207" i="5"/>
  <c r="Q215" i="5"/>
  <c r="R215" i="5"/>
  <c r="R262" i="5"/>
  <c r="Q262" i="5"/>
  <c r="Q49" i="5"/>
  <c r="R49" i="5"/>
  <c r="R136" i="5"/>
  <c r="R425" i="5"/>
  <c r="R441" i="5"/>
  <c r="Q441" i="5"/>
  <c r="Q382" i="5"/>
  <c r="R382" i="5"/>
  <c r="Q432" i="5"/>
  <c r="R432" i="5"/>
  <c r="R504" i="5"/>
  <c r="Q504" i="5"/>
  <c r="R159" i="5"/>
  <c r="Q159" i="5"/>
  <c r="R533" i="5"/>
  <c r="Q533" i="5"/>
  <c r="Q485" i="5"/>
  <c r="Q453" i="5"/>
  <c r="R453" i="5"/>
  <c r="R351" i="5"/>
  <c r="Q351" i="5"/>
  <c r="R543" i="5"/>
  <c r="R296" i="5"/>
  <c r="Q296" i="5"/>
  <c r="Q287" i="5"/>
  <c r="R287" i="5"/>
  <c r="Q362" i="5"/>
  <c r="R362" i="5"/>
  <c r="R269" i="5"/>
  <c r="Q70" i="5"/>
  <c r="R70" i="5"/>
  <c r="Q164" i="5"/>
  <c r="R418" i="5"/>
  <c r="Q418" i="5"/>
  <c r="R541" i="5"/>
  <c r="Q541" i="5"/>
  <c r="Q515" i="5"/>
  <c r="R515" i="5"/>
  <c r="Q170" i="5"/>
  <c r="Q66" i="5"/>
  <c r="Q440" i="5"/>
  <c r="Q117" i="5"/>
  <c r="R117" i="5"/>
  <c r="R281" i="5"/>
  <c r="Q281" i="5"/>
  <c r="Q109" i="5"/>
  <c r="R286" i="5"/>
  <c r="Q286" i="5"/>
  <c r="Q261" i="5"/>
  <c r="Q437" i="5"/>
  <c r="Q550" i="5"/>
  <c r="R379" i="5"/>
  <c r="Q438" i="5"/>
  <c r="R438" i="5"/>
  <c r="R408" i="5"/>
  <c r="R373" i="5"/>
  <c r="Q373" i="5"/>
  <c r="Q443" i="5"/>
  <c r="R443" i="5"/>
  <c r="Q380" i="5"/>
  <c r="R380" i="5"/>
  <c r="R470" i="5"/>
  <c r="Q470" i="5"/>
  <c r="R264" i="5"/>
  <c r="Q264" i="5"/>
  <c r="R77" i="5"/>
  <c r="Q77" i="5"/>
  <c r="R186" i="5"/>
  <c r="Q186" i="5"/>
  <c r="R137" i="5"/>
  <c r="Q137" i="5"/>
  <c r="R115" i="5"/>
  <c r="Q115" i="5"/>
  <c r="R149" i="5"/>
  <c r="Q205" i="5"/>
  <c r="Q316" i="5"/>
  <c r="R316" i="5"/>
  <c r="Q180" i="5"/>
  <c r="R341" i="5"/>
  <c r="Q557" i="5"/>
  <c r="R557" i="5"/>
  <c r="Q538" i="5"/>
  <c r="R538" i="5"/>
  <c r="R352" i="5"/>
  <c r="R411" i="5"/>
  <c r="R444" i="5"/>
  <c r="Q400" i="5"/>
  <c r="R400" i="5"/>
  <c r="R124" i="5"/>
  <c r="Q124" i="5"/>
  <c r="Q80" i="5"/>
  <c r="R80" i="5"/>
  <c r="R42" i="5"/>
  <c r="R210" i="5"/>
  <c r="Q210" i="5"/>
  <c r="Q48" i="5"/>
  <c r="R165" i="5"/>
  <c r="Q165" i="5"/>
  <c r="R546" i="5"/>
  <c r="Q546" i="5"/>
  <c r="R466" i="5"/>
  <c r="Q466" i="5"/>
  <c r="Q542" i="5"/>
  <c r="R542" i="5"/>
  <c r="R293" i="5"/>
  <c r="R520" i="5"/>
  <c r="Q520" i="5"/>
  <c r="Q555" i="5"/>
  <c r="R555" i="5"/>
  <c r="R24" i="5"/>
  <c r="Q24" i="5"/>
  <c r="R146" i="5"/>
  <c r="Q146" i="5"/>
  <c r="Q37" i="5"/>
  <c r="R37" i="5"/>
  <c r="R84" i="5"/>
  <c r="Q84" i="5"/>
  <c r="Q457" i="5"/>
  <c r="R457" i="5"/>
  <c r="R273" i="5"/>
  <c r="R306" i="5"/>
  <c r="Q306" i="5"/>
  <c r="R475" i="5"/>
  <c r="Q475" i="5"/>
  <c r="I16" i="2"/>
  <c r="I14" i="2"/>
  <c r="X7" i="5"/>
  <c r="W7" i="5"/>
  <c r="R13" i="5"/>
  <c r="Q13" i="5"/>
  <c r="I32" i="2"/>
  <c r="B50" i="3"/>
  <c r="B54" i="3" s="1"/>
  <c r="B58" i="3" s="1"/>
  <c r="B90" i="3"/>
  <c r="B89" i="3"/>
  <c r="I43" i="2" s="1"/>
  <c r="B91" i="3"/>
  <c r="E33" i="3"/>
  <c r="B55" i="3"/>
  <c r="I35" i="2"/>
  <c r="B53" i="3"/>
  <c r="I29" i="2"/>
  <c r="H54" i="4"/>
  <c r="K54" i="4" s="1"/>
  <c r="L54" i="4" s="1"/>
  <c r="M54" i="4" s="1"/>
  <c r="N54" i="4" s="1"/>
  <c r="H75" i="4"/>
  <c r="K75" i="4" s="1"/>
  <c r="L75" i="4" s="1"/>
  <c r="M75" i="4" s="1"/>
  <c r="N75" i="4" s="1"/>
  <c r="H59" i="4"/>
  <c r="K59" i="4" s="1"/>
  <c r="L59" i="4" s="1"/>
  <c r="M59" i="4" s="1"/>
  <c r="N59" i="4" s="1"/>
  <c r="H60" i="4"/>
  <c r="K60" i="4" s="1"/>
  <c r="L60" i="4" s="1"/>
  <c r="M60" i="4" s="1"/>
  <c r="N60" i="4" s="1"/>
  <c r="H103" i="4"/>
  <c r="K103" i="4" s="1"/>
  <c r="L103" i="4" s="1"/>
  <c r="M103" i="4" s="1"/>
  <c r="N103" i="4" s="1"/>
  <c r="H20" i="4"/>
  <c r="K20" i="4" s="1"/>
  <c r="L20" i="4" s="1"/>
  <c r="M20" i="4" s="1"/>
  <c r="N20" i="4" s="1"/>
  <c r="H55" i="4"/>
  <c r="K55" i="4" s="1"/>
  <c r="L55" i="4" s="1"/>
  <c r="M55" i="4" s="1"/>
  <c r="N55" i="4" s="1"/>
  <c r="H27" i="4"/>
  <c r="K27" i="4" s="1"/>
  <c r="L27" i="4" s="1"/>
  <c r="M27" i="4" s="1"/>
  <c r="N27" i="4" s="1"/>
  <c r="H87" i="4"/>
  <c r="K87" i="4" s="1"/>
  <c r="L87" i="4" s="1"/>
  <c r="M87" i="4" s="1"/>
  <c r="N87" i="4" s="1"/>
  <c r="H65" i="4"/>
  <c r="K65" i="4" s="1"/>
  <c r="L65" i="4" s="1"/>
  <c r="M65" i="4" s="1"/>
  <c r="N65" i="4" s="1"/>
  <c r="H15" i="4"/>
  <c r="K15" i="4" s="1"/>
  <c r="L15" i="4" s="1"/>
  <c r="M15" i="4" s="1"/>
  <c r="N15" i="4" s="1"/>
  <c r="H47" i="4"/>
  <c r="K47" i="4" s="1"/>
  <c r="L47" i="4" s="1"/>
  <c r="M47" i="4" s="1"/>
  <c r="N47" i="4" s="1"/>
  <c r="H97" i="4"/>
  <c r="K97" i="4" s="1"/>
  <c r="L97" i="4" s="1"/>
  <c r="M97" i="4" s="1"/>
  <c r="N97" i="4" s="1"/>
  <c r="H11" i="4"/>
  <c r="K11" i="4" s="1"/>
  <c r="L11" i="4" s="1"/>
  <c r="M11" i="4" s="1"/>
  <c r="N11" i="4" s="1"/>
  <c r="H4" i="4"/>
  <c r="K4" i="4" s="1"/>
  <c r="L4" i="4" s="1"/>
  <c r="M4" i="4" s="1"/>
  <c r="N4" i="4" s="1"/>
  <c r="H62" i="4"/>
  <c r="K62" i="4" s="1"/>
  <c r="L62" i="4" s="1"/>
  <c r="M62" i="4" s="1"/>
  <c r="N62" i="4" s="1"/>
  <c r="H19" i="4"/>
  <c r="K19" i="4" s="1"/>
  <c r="L19" i="4" s="1"/>
  <c r="M19" i="4" s="1"/>
  <c r="N19" i="4" s="1"/>
  <c r="H77" i="4"/>
  <c r="K77" i="4" s="1"/>
  <c r="L77" i="4" s="1"/>
  <c r="M77" i="4" s="1"/>
  <c r="N77" i="4" s="1"/>
  <c r="H6" i="4"/>
  <c r="K6" i="4" s="1"/>
  <c r="L6" i="4" s="1"/>
  <c r="M6" i="4" s="1"/>
  <c r="N6" i="4" s="1"/>
  <c r="H64" i="4"/>
  <c r="K64" i="4" s="1"/>
  <c r="L64" i="4" s="1"/>
  <c r="M64" i="4" s="1"/>
  <c r="N64" i="4" s="1"/>
  <c r="H32" i="4"/>
  <c r="K32" i="4" s="1"/>
  <c r="L32" i="4" s="1"/>
  <c r="M32" i="4" s="1"/>
  <c r="N32" i="4" s="1"/>
  <c r="H94" i="4"/>
  <c r="K94" i="4" s="1"/>
  <c r="L94" i="4" s="1"/>
  <c r="M94" i="4" s="1"/>
  <c r="N94" i="4" s="1"/>
  <c r="H51" i="4"/>
  <c r="K51" i="4" s="1"/>
  <c r="L51" i="4" s="1"/>
  <c r="M51" i="4" s="1"/>
  <c r="N51" i="4" s="1"/>
  <c r="H23" i="4"/>
  <c r="K23" i="4" s="1"/>
  <c r="L23" i="4" s="1"/>
  <c r="M23" i="4" s="1"/>
  <c r="N23" i="4" s="1"/>
  <c r="H58" i="4"/>
  <c r="K58" i="4" s="1"/>
  <c r="L58" i="4" s="1"/>
  <c r="M58" i="4" s="1"/>
  <c r="N58" i="4" s="1"/>
  <c r="H69" i="4"/>
  <c r="K69" i="4" s="1"/>
  <c r="L69" i="4" s="1"/>
  <c r="M69" i="4" s="1"/>
  <c r="N69" i="4" s="1"/>
  <c r="H56" i="4"/>
  <c r="K56" i="4" s="1"/>
  <c r="L56" i="4" s="1"/>
  <c r="M56" i="4" s="1"/>
  <c r="N56" i="4" s="1"/>
  <c r="H31" i="4"/>
  <c r="K31" i="4" s="1"/>
  <c r="L31" i="4" s="1"/>
  <c r="M31" i="4" s="1"/>
  <c r="N31" i="4" s="1"/>
  <c r="H34" i="4"/>
  <c r="K34" i="4" s="1"/>
  <c r="L34" i="4" s="1"/>
  <c r="M34" i="4" s="1"/>
  <c r="N34" i="4" s="1"/>
  <c r="H95" i="4"/>
  <c r="K95" i="4" s="1"/>
  <c r="L95" i="4" s="1"/>
  <c r="M95" i="4" s="1"/>
  <c r="N95" i="4" s="1"/>
  <c r="H89" i="4"/>
  <c r="K89" i="4" s="1"/>
  <c r="L89" i="4" s="1"/>
  <c r="M89" i="4" s="1"/>
  <c r="N89" i="4" s="1"/>
  <c r="H46" i="4"/>
  <c r="K46" i="4" s="1"/>
  <c r="L46" i="4" s="1"/>
  <c r="M46" i="4" s="1"/>
  <c r="H61" i="4"/>
  <c r="K61" i="4" s="1"/>
  <c r="L61" i="4" s="1"/>
  <c r="M61" i="4" s="1"/>
  <c r="N61" i="4" s="1"/>
  <c r="H42" i="4"/>
  <c r="K42" i="4" s="1"/>
  <c r="L42" i="4" s="1"/>
  <c r="M42" i="4" s="1"/>
  <c r="H84" i="4"/>
  <c r="K84" i="4" s="1"/>
  <c r="L84" i="4" s="1"/>
  <c r="M84" i="4" s="1"/>
  <c r="N84" i="4" s="1"/>
  <c r="H83" i="4"/>
  <c r="K83" i="4" s="1"/>
  <c r="L83" i="4" s="1"/>
  <c r="M83" i="4" s="1"/>
  <c r="N83" i="4" s="1"/>
  <c r="H41" i="4"/>
  <c r="K41" i="4" s="1"/>
  <c r="L41" i="4" s="1"/>
  <c r="M41" i="4" s="1"/>
  <c r="N41" i="4" s="1"/>
  <c r="H98" i="4"/>
  <c r="K98" i="4" s="1"/>
  <c r="L98" i="4" s="1"/>
  <c r="M98" i="4" s="1"/>
  <c r="N98" i="4" s="1"/>
  <c r="H13" i="4"/>
  <c r="K13" i="4" s="1"/>
  <c r="L13" i="4" s="1"/>
  <c r="M13" i="4" s="1"/>
  <c r="H26" i="4"/>
  <c r="H80" i="4"/>
  <c r="H48" i="4"/>
  <c r="K48" i="4" s="1"/>
  <c r="L48" i="4" s="1"/>
  <c r="M48" i="4" s="1"/>
  <c r="H16" i="4"/>
  <c r="K16" i="4" s="1"/>
  <c r="L16" i="4" s="1"/>
  <c r="M16" i="4" s="1"/>
  <c r="N16" i="4" s="1"/>
  <c r="H93" i="4"/>
  <c r="K93" i="4" s="1"/>
  <c r="L93" i="4" s="1"/>
  <c r="M93" i="4" s="1"/>
  <c r="N93" i="4" s="1"/>
  <c r="H50" i="4"/>
  <c r="K50" i="4" s="1"/>
  <c r="L50" i="4" s="1"/>
  <c r="M50" i="4" s="1"/>
  <c r="N50" i="4" s="1"/>
  <c r="H22" i="4"/>
  <c r="K22" i="4" s="1"/>
  <c r="L22" i="4" s="1"/>
  <c r="M22" i="4" s="1"/>
  <c r="N22" i="4" s="1"/>
  <c r="H21" i="4"/>
  <c r="K21" i="4" s="1"/>
  <c r="L21" i="4" s="1"/>
  <c r="M21" i="4" s="1"/>
  <c r="H74" i="4"/>
  <c r="K74" i="4" s="1"/>
  <c r="L74" i="4" s="1"/>
  <c r="M74" i="4" s="1"/>
  <c r="N74" i="4" s="1"/>
  <c r="H12" i="4"/>
  <c r="K12" i="4" s="1"/>
  <c r="L12" i="4" s="1"/>
  <c r="M12" i="4" s="1"/>
  <c r="N12" i="4" s="1"/>
  <c r="H53" i="4"/>
  <c r="K53" i="4" s="1"/>
  <c r="L53" i="4" s="1"/>
  <c r="M53" i="4" s="1"/>
  <c r="H45" i="4"/>
  <c r="K45" i="4" s="1"/>
  <c r="L45" i="4" s="1"/>
  <c r="M45" i="4" s="1"/>
  <c r="N45" i="4" s="1"/>
  <c r="H104" i="4"/>
  <c r="K104" i="4" s="1"/>
  <c r="L104" i="4" s="1"/>
  <c r="M104" i="4" s="1"/>
  <c r="N104" i="4" s="1"/>
  <c r="H40" i="4"/>
  <c r="K40" i="4" s="1"/>
  <c r="L40" i="4" s="1"/>
  <c r="M40" i="4" s="1"/>
  <c r="N40" i="4" s="1"/>
  <c r="H71" i="4"/>
  <c r="K71" i="4" s="1"/>
  <c r="L71" i="4" s="1"/>
  <c r="M71" i="4" s="1"/>
  <c r="N71" i="4" s="1"/>
  <c r="H43" i="4"/>
  <c r="K43" i="4" s="1"/>
  <c r="L43" i="4" s="1"/>
  <c r="M43" i="4" s="1"/>
  <c r="N43" i="4" s="1"/>
  <c r="H85" i="4"/>
  <c r="K85" i="4" s="1"/>
  <c r="L85" i="4" s="1"/>
  <c r="M85" i="4" s="1"/>
  <c r="H9" i="4"/>
  <c r="K9" i="4" s="1"/>
  <c r="L9" i="4" s="1"/>
  <c r="M9" i="4" s="1"/>
  <c r="N9" i="4" s="1"/>
  <c r="H81" i="4"/>
  <c r="K81" i="4" s="1"/>
  <c r="L81" i="4" s="1"/>
  <c r="M81" i="4" s="1"/>
  <c r="N81" i="4" s="1"/>
  <c r="H24" i="4"/>
  <c r="K24" i="4" s="1"/>
  <c r="L24" i="4" s="1"/>
  <c r="M24" i="4" s="1"/>
  <c r="N24" i="4" s="1"/>
  <c r="H78" i="4"/>
  <c r="K78" i="4" s="1"/>
  <c r="L78" i="4" s="1"/>
  <c r="M78" i="4" s="1"/>
  <c r="H35" i="4"/>
  <c r="H7" i="4"/>
  <c r="H30" i="4"/>
  <c r="H102" i="4"/>
  <c r="K102" i="4" s="1"/>
  <c r="L102" i="4" s="1"/>
  <c r="M102" i="4" s="1"/>
  <c r="H17" i="4"/>
  <c r="H72" i="4"/>
  <c r="H8" i="4"/>
  <c r="H67" i="4"/>
  <c r="K67" i="4" s="1"/>
  <c r="L67" i="4" s="1"/>
  <c r="M67" i="4" s="1"/>
  <c r="H25" i="4"/>
  <c r="K25" i="4" s="1"/>
  <c r="L25" i="4" s="1"/>
  <c r="M25" i="4" s="1"/>
  <c r="H82" i="4"/>
  <c r="H39" i="4"/>
  <c r="H10" i="4"/>
  <c r="H100" i="4"/>
  <c r="H68" i="4"/>
  <c r="H91" i="4"/>
  <c r="H49" i="4"/>
  <c r="H5" i="4"/>
  <c r="H99" i="4"/>
  <c r="H57" i="4"/>
  <c r="H14" i="4"/>
  <c r="H29" i="4"/>
  <c r="H86" i="4"/>
  <c r="K86" i="4" s="1"/>
  <c r="L86" i="4" s="1"/>
  <c r="M86" i="4" s="1"/>
  <c r="H90" i="4"/>
  <c r="H92" i="4"/>
  <c r="H28" i="4"/>
  <c r="H66" i="4"/>
  <c r="H38" i="4"/>
  <c r="H79" i="4"/>
  <c r="K79" i="4" s="1"/>
  <c r="L79" i="4" s="1"/>
  <c r="M79" i="4" s="1"/>
  <c r="H18" i="4"/>
  <c r="H33" i="4"/>
  <c r="H37" i="4"/>
  <c r="H52" i="4"/>
  <c r="H73" i="4"/>
  <c r="K73" i="4" s="1"/>
  <c r="L73" i="4" s="1"/>
  <c r="M73" i="4" s="1"/>
  <c r="H88" i="4"/>
  <c r="H70" i="4"/>
  <c r="H101" i="4"/>
  <c r="K101" i="4" s="1"/>
  <c r="L101" i="4" s="1"/>
  <c r="M101" i="4" s="1"/>
  <c r="H96" i="4"/>
  <c r="K96" i="4" s="1"/>
  <c r="L96" i="4" s="1"/>
  <c r="M96" i="4" s="1"/>
  <c r="H36" i="4"/>
  <c r="H63" i="4"/>
  <c r="H76" i="4"/>
  <c r="H44" i="4"/>
  <c r="AA96" i="5" l="1"/>
  <c r="AA345" i="5"/>
  <c r="AE53" i="6"/>
  <c r="Z20" i="6"/>
  <c r="AA27" i="6"/>
  <c r="AC27" i="6" s="1"/>
  <c r="AD27" i="6" s="1"/>
  <c r="AJ41" i="6"/>
  <c r="Y103" i="6"/>
  <c r="AR103" i="6" s="1"/>
  <c r="AE129" i="6"/>
  <c r="AA131" i="5"/>
  <c r="AJ142" i="6"/>
  <c r="Z509" i="5"/>
  <c r="AJ86" i="6"/>
  <c r="Z24" i="6"/>
  <c r="AJ120" i="6"/>
  <c r="Z413" i="5"/>
  <c r="AA300" i="5"/>
  <c r="AA515" i="5"/>
  <c r="Z137" i="8"/>
  <c r="AN137" i="8" s="1"/>
  <c r="Y39" i="8"/>
  <c r="AR39" i="8" s="1"/>
  <c r="AA18" i="8"/>
  <c r="Z18" i="8"/>
  <c r="AN18" i="8" s="1"/>
  <c r="AE83" i="8"/>
  <c r="AE131" i="8"/>
  <c r="Z10" i="8"/>
  <c r="AN10" i="8" s="1"/>
  <c r="AE145" i="8"/>
  <c r="Q312" i="5"/>
  <c r="R72" i="5"/>
  <c r="R332" i="5"/>
  <c r="R135" i="5"/>
  <c r="R63" i="5"/>
  <c r="R36" i="5"/>
  <c r="R387" i="5"/>
  <c r="R50" i="5"/>
  <c r="Q549" i="5"/>
  <c r="Q93" i="5"/>
  <c r="Q442" i="5"/>
  <c r="R140" i="5"/>
  <c r="R175" i="5"/>
  <c r="R25" i="5"/>
  <c r="R195" i="5"/>
  <c r="Q479" i="5"/>
  <c r="R360" i="5"/>
  <c r="Q123" i="5"/>
  <c r="R235" i="5"/>
  <c r="Q107" i="5"/>
  <c r="R133" i="5"/>
  <c r="R114" i="5"/>
  <c r="Q185" i="5"/>
  <c r="R265" i="5"/>
  <c r="R19" i="5"/>
  <c r="Q282" i="5"/>
  <c r="Q343" i="5"/>
  <c r="R364" i="5"/>
  <c r="Q141" i="5"/>
  <c r="Q47" i="5"/>
  <c r="R90" i="5"/>
  <c r="Q489" i="5"/>
  <c r="R203" i="5"/>
  <c r="R526" i="5"/>
  <c r="Q95" i="5"/>
  <c r="R531" i="5"/>
  <c r="R89" i="5"/>
  <c r="R213" i="5"/>
  <c r="R69" i="5"/>
  <c r="R68" i="5"/>
  <c r="R272" i="5"/>
  <c r="R126" i="5"/>
  <c r="Q519" i="5"/>
  <c r="Q419" i="5"/>
  <c r="Q46" i="5"/>
  <c r="R244" i="5"/>
  <c r="Q86" i="5"/>
  <c r="R299" i="5"/>
  <c r="R10" i="5"/>
  <c r="Q204" i="5"/>
  <c r="R331" i="5"/>
  <c r="G85" i="2"/>
  <c r="Q484" i="5"/>
  <c r="Z67" i="8"/>
  <c r="AN67" i="8" s="1"/>
  <c r="AE112" i="6"/>
  <c r="R460" i="5"/>
  <c r="AE21" i="6"/>
  <c r="AA138" i="8"/>
  <c r="X76" i="8"/>
  <c r="Z13" i="6"/>
  <c r="AF13" i="6" s="1"/>
  <c r="AG13" i="6" s="1"/>
  <c r="Z21" i="6"/>
  <c r="AN21" i="6" s="1"/>
  <c r="R401" i="5"/>
  <c r="R12" i="5"/>
  <c r="R358" i="5"/>
  <c r="R276" i="5"/>
  <c r="R212" i="5"/>
  <c r="R57" i="5"/>
  <c r="Q30" i="5"/>
  <c r="Z49" i="8"/>
  <c r="AN49" i="8" s="1"/>
  <c r="AE9" i="8"/>
  <c r="AJ42" i="6"/>
  <c r="R238" i="5"/>
  <c r="Q560" i="5"/>
  <c r="Q317" i="5"/>
  <c r="Q35" i="5"/>
  <c r="AA49" i="8"/>
  <c r="AC49" i="8" s="1"/>
  <c r="AD49" i="8" s="1"/>
  <c r="X13" i="8"/>
  <c r="AJ49" i="6"/>
  <c r="R168" i="5"/>
  <c r="Q44" i="5"/>
  <c r="Y71" i="6"/>
  <c r="AR71" i="6" s="1"/>
  <c r="AE49" i="8"/>
  <c r="Z12" i="8"/>
  <c r="AN12" i="8" s="1"/>
  <c r="AJ51" i="6"/>
  <c r="AJ103" i="6"/>
  <c r="AE75" i="8"/>
  <c r="AE92" i="8"/>
  <c r="AJ126" i="6"/>
  <c r="AE79" i="8"/>
  <c r="AE65" i="8"/>
  <c r="Y61" i="6"/>
  <c r="AR61" i="6" s="1"/>
  <c r="Q431" i="5"/>
  <c r="AE61" i="6"/>
  <c r="AE71" i="6"/>
  <c r="Q243" i="5"/>
  <c r="Q199" i="5"/>
  <c r="R193" i="5"/>
  <c r="Q275" i="5"/>
  <c r="Y157" i="6"/>
  <c r="AR157" i="6" s="1"/>
  <c r="AE59" i="8"/>
  <c r="AE113" i="8"/>
  <c r="AE152" i="8"/>
  <c r="AE88" i="8"/>
  <c r="AE24" i="8"/>
  <c r="AA9" i="8"/>
  <c r="Q324" i="5"/>
  <c r="AE157" i="6"/>
  <c r="X49" i="8"/>
  <c r="AA254" i="5"/>
  <c r="Y67" i="6"/>
  <c r="AR67" i="6" s="1"/>
  <c r="Z120" i="8"/>
  <c r="AN120" i="8" s="1"/>
  <c r="X120" i="8"/>
  <c r="AJ120" i="8" s="1"/>
  <c r="AA101" i="8"/>
  <c r="Z100" i="8"/>
  <c r="AN100" i="8" s="1"/>
  <c r="R200" i="5"/>
  <c r="Q333" i="5"/>
  <c r="Q530" i="5"/>
  <c r="R510" i="5"/>
  <c r="AE103" i="6"/>
  <c r="Y51" i="6"/>
  <c r="AR51" i="6" s="1"/>
  <c r="AA120" i="8"/>
  <c r="AQ120" i="8" s="1"/>
  <c r="Y42" i="8"/>
  <c r="AR42" i="8" s="1"/>
  <c r="AE101" i="8"/>
  <c r="Z8" i="8"/>
  <c r="AN8" i="8" s="1"/>
  <c r="AA100" i="8"/>
  <c r="AE93" i="6"/>
  <c r="Q421" i="5"/>
  <c r="R378" i="5"/>
  <c r="Q354" i="5"/>
  <c r="Z33" i="6"/>
  <c r="AA456" i="5"/>
  <c r="Z140" i="8"/>
  <c r="AN140" i="8" s="1"/>
  <c r="AA152" i="8"/>
  <c r="AQ152" i="8" s="1"/>
  <c r="AE8" i="8"/>
  <c r="Z113" i="8"/>
  <c r="AN113" i="8" s="1"/>
  <c r="X33" i="8"/>
  <c r="AJ33" i="8" s="1"/>
  <c r="R106" i="5"/>
  <c r="AE33" i="6"/>
  <c r="Y38" i="6"/>
  <c r="AR38" i="6" s="1"/>
  <c r="Y134" i="6"/>
  <c r="AR134" i="6" s="1"/>
  <c r="X140" i="8"/>
  <c r="AJ140" i="8" s="1"/>
  <c r="AA140" i="8"/>
  <c r="AE35" i="8"/>
  <c r="AA113" i="8"/>
  <c r="Z75" i="8"/>
  <c r="AN75" i="8" s="1"/>
  <c r="R308" i="5"/>
  <c r="R558" i="5"/>
  <c r="R222" i="5"/>
  <c r="R160" i="5"/>
  <c r="Z17" i="6"/>
  <c r="Z535" i="5"/>
  <c r="AE140" i="8"/>
  <c r="Y62" i="8"/>
  <c r="AR62" i="8" s="1"/>
  <c r="AE42" i="8"/>
  <c r="X100" i="8"/>
  <c r="AA75" i="8"/>
  <c r="Q454" i="5"/>
  <c r="Q27" i="5"/>
  <c r="Q51" i="5"/>
  <c r="Q251" i="5"/>
  <c r="AE17" i="6"/>
  <c r="Y142" i="6"/>
  <c r="AR142" i="6" s="1"/>
  <c r="Y53" i="6"/>
  <c r="AR53" i="6" s="1"/>
  <c r="Y17" i="8"/>
  <c r="AR17" i="8" s="1"/>
  <c r="X35" i="8"/>
  <c r="AJ35" i="8" s="1"/>
  <c r="AE40" i="8"/>
  <c r="X101" i="8"/>
  <c r="AJ101" i="8" s="1"/>
  <c r="AJ99" i="6"/>
  <c r="AE68" i="6"/>
  <c r="AE54" i="8"/>
  <c r="AE137" i="8"/>
  <c r="AE13" i="8"/>
  <c r="Z123" i="8"/>
  <c r="AN123" i="8" s="1"/>
  <c r="R230" i="5"/>
  <c r="Q172" i="5"/>
  <c r="Q492" i="5"/>
  <c r="R83" i="5"/>
  <c r="X8" i="8"/>
  <c r="AA141" i="8"/>
  <c r="AJ128" i="6"/>
  <c r="AE78" i="6"/>
  <c r="Q64" i="5"/>
  <c r="Q545" i="5"/>
  <c r="Q252" i="5"/>
  <c r="Z92" i="8"/>
  <c r="AN92" i="8" s="1"/>
  <c r="Y88" i="8"/>
  <c r="AR88" i="8" s="1"/>
  <c r="X40" i="8"/>
  <c r="Z24" i="8"/>
  <c r="AN24" i="8" s="1"/>
  <c r="X154" i="8"/>
  <c r="AJ154" i="8" s="1"/>
  <c r="Z141" i="8"/>
  <c r="AN141" i="8" s="1"/>
  <c r="Z84" i="8"/>
  <c r="AN84" i="8" s="1"/>
  <c r="Z131" i="8"/>
  <c r="AN131" i="8" s="1"/>
  <c r="AE36" i="8"/>
  <c r="AE48" i="8"/>
  <c r="AE11" i="8"/>
  <c r="AE38" i="6"/>
  <c r="R56" i="5"/>
  <c r="R424" i="5"/>
  <c r="Q502" i="5"/>
  <c r="Q43" i="5"/>
  <c r="R468" i="5"/>
  <c r="R167" i="5"/>
  <c r="Q467" i="5"/>
  <c r="Z446" i="5"/>
  <c r="AA92" i="8"/>
  <c r="AP92" i="8" s="1"/>
  <c r="Y154" i="8"/>
  <c r="AR154" i="8" s="1"/>
  <c r="AA24" i="8"/>
  <c r="AC24" i="8" s="1"/>
  <c r="AD24" i="8" s="1"/>
  <c r="X141" i="8"/>
  <c r="AK141" i="8" s="1"/>
  <c r="AL141" i="8" s="1"/>
  <c r="X137" i="8"/>
  <c r="AE141" i="8"/>
  <c r="Q41" i="5"/>
  <c r="AE134" i="6"/>
  <c r="Z256" i="5"/>
  <c r="AJ140" i="6"/>
  <c r="AJ148" i="6"/>
  <c r="AJ58" i="6"/>
  <c r="AA84" i="8"/>
  <c r="AP84" i="8" s="1"/>
  <c r="Z138" i="8"/>
  <c r="AN138" i="8" s="1"/>
  <c r="X91" i="8"/>
  <c r="AJ91" i="8" s="1"/>
  <c r="AA67" i="8"/>
  <c r="AC67" i="8" s="1"/>
  <c r="AD67" i="8" s="1"/>
  <c r="AA137" i="8"/>
  <c r="Z99" i="8"/>
  <c r="AN99" i="8" s="1"/>
  <c r="X90" i="8"/>
  <c r="X31" i="8"/>
  <c r="AA123" i="8"/>
  <c r="AP123" i="8" s="1"/>
  <c r="X45" i="8"/>
  <c r="X125" i="8"/>
  <c r="AE37" i="8"/>
  <c r="X37" i="8"/>
  <c r="AJ37" i="8" s="1"/>
  <c r="X52" i="8"/>
  <c r="AE71" i="8"/>
  <c r="Y153" i="8"/>
  <c r="AR153" i="8" s="1"/>
  <c r="Y45" i="8"/>
  <c r="AR45" i="8" s="1"/>
  <c r="AA99" i="8"/>
  <c r="AE123" i="8"/>
  <c r="Z19" i="8"/>
  <c r="AN19" i="8" s="1"/>
  <c r="X144" i="8"/>
  <c r="AJ144" i="8" s="1"/>
  <c r="X41" i="8"/>
  <c r="AE64" i="8"/>
  <c r="AA76" i="8"/>
  <c r="AC76" i="8" s="1"/>
  <c r="AD76" i="8" s="1"/>
  <c r="X46" i="8"/>
  <c r="AJ46" i="8" s="1"/>
  <c r="Z46" i="8"/>
  <c r="AN46" i="8" s="1"/>
  <c r="AE31" i="8"/>
  <c r="AA19" i="8"/>
  <c r="AP19" i="8" s="1"/>
  <c r="Y64" i="8"/>
  <c r="AR64" i="8" s="1"/>
  <c r="Z52" i="8"/>
  <c r="AN52" i="8" s="1"/>
  <c r="AE60" i="8"/>
  <c r="AE84" i="8"/>
  <c r="Z48" i="8"/>
  <c r="AN48" i="8" s="1"/>
  <c r="Y47" i="8"/>
  <c r="AR47" i="8" s="1"/>
  <c r="AA46" i="8"/>
  <c r="AP46" i="8" s="1"/>
  <c r="X19" i="8"/>
  <c r="AJ19" i="8" s="1"/>
  <c r="AE19" i="8"/>
  <c r="Z143" i="8"/>
  <c r="AN143" i="8" s="1"/>
  <c r="X133" i="8"/>
  <c r="AJ133" i="8" s="1"/>
  <c r="AA52" i="8"/>
  <c r="AP52" i="8" s="1"/>
  <c r="X71" i="8"/>
  <c r="Z144" i="8"/>
  <c r="AN144" i="8" s="1"/>
  <c r="AE22" i="8"/>
  <c r="AE41" i="8"/>
  <c r="AA48" i="8"/>
  <c r="AC48" i="8" s="1"/>
  <c r="AD48" i="8" s="1"/>
  <c r="AE46" i="8"/>
  <c r="X143" i="8"/>
  <c r="AJ143" i="8" s="1"/>
  <c r="X84" i="8"/>
  <c r="AA143" i="8"/>
  <c r="AQ143" i="8" s="1"/>
  <c r="AE52" i="8"/>
  <c r="AA144" i="8"/>
  <c r="AC144" i="8" s="1"/>
  <c r="AD144" i="8" s="1"/>
  <c r="AE125" i="8"/>
  <c r="AE91" i="8"/>
  <c r="X21" i="8"/>
  <c r="AE143" i="8"/>
  <c r="Y60" i="8"/>
  <c r="AR60" i="8" s="1"/>
  <c r="AE144" i="8"/>
  <c r="Z90" i="8"/>
  <c r="AN90" i="8" s="1"/>
  <c r="AA131" i="8"/>
  <c r="AP131" i="8" s="1"/>
  <c r="X9" i="8"/>
  <c r="Z9" i="8"/>
  <c r="AN9" i="8" s="1"/>
  <c r="AA90" i="8"/>
  <c r="X59" i="8"/>
  <c r="AK59" i="8" s="1"/>
  <c r="AL59" i="8" s="1"/>
  <c r="AE132" i="8"/>
  <c r="AE153" i="8"/>
  <c r="AE77" i="8"/>
  <c r="AE121" i="8"/>
  <c r="AA54" i="8"/>
  <c r="AE104" i="8"/>
  <c r="AA147" i="8"/>
  <c r="AE29" i="8"/>
  <c r="Q413" i="5"/>
  <c r="Q237" i="5"/>
  <c r="R92" i="5"/>
  <c r="Q556" i="5"/>
  <c r="Q315" i="5"/>
  <c r="R313" i="5"/>
  <c r="R318" i="5"/>
  <c r="R524" i="5"/>
  <c r="AE110" i="6"/>
  <c r="AE147" i="8"/>
  <c r="Z54" i="8"/>
  <c r="AN54" i="8" s="1"/>
  <c r="Y104" i="8"/>
  <c r="AR104" i="8" s="1"/>
  <c r="Q250" i="5"/>
  <c r="Q29" i="5"/>
  <c r="R346" i="5"/>
  <c r="Q248" i="5"/>
  <c r="Y112" i="6"/>
  <c r="AR112" i="6" s="1"/>
  <c r="Z111" i="5"/>
  <c r="AE78" i="8"/>
  <c r="Y85" i="8"/>
  <c r="AR85" i="8" s="1"/>
  <c r="X68" i="8"/>
  <c r="AA10" i="8"/>
  <c r="AQ10" i="8" s="1"/>
  <c r="AJ129" i="6"/>
  <c r="AE68" i="8"/>
  <c r="AA149" i="8"/>
  <c r="AC149" i="8" s="1"/>
  <c r="AD149" i="8" s="1"/>
  <c r="AE73" i="8"/>
  <c r="R188" i="5"/>
  <c r="R548" i="5"/>
  <c r="Z150" i="8"/>
  <c r="AN150" i="8" s="1"/>
  <c r="AE10" i="8"/>
  <c r="Q155" i="5"/>
  <c r="R58" i="5"/>
  <c r="Q105" i="5"/>
  <c r="Q182" i="5"/>
  <c r="R201" i="5"/>
  <c r="Y110" i="6"/>
  <c r="AR110" i="6" s="1"/>
  <c r="Y121" i="8"/>
  <c r="AR121" i="8" s="1"/>
  <c r="AE150" i="8"/>
  <c r="R540" i="5"/>
  <c r="R394" i="5"/>
  <c r="R88" i="5"/>
  <c r="R367" i="5"/>
  <c r="Q268" i="5"/>
  <c r="R334" i="5"/>
  <c r="Q232" i="5"/>
  <c r="Q153" i="5"/>
  <c r="Z422" i="5"/>
  <c r="AE33" i="8"/>
  <c r="AE17" i="8"/>
  <c r="Q474" i="5"/>
  <c r="Q368" i="5"/>
  <c r="R162" i="5"/>
  <c r="Q544" i="5"/>
  <c r="AE148" i="6"/>
  <c r="Z10" i="6"/>
  <c r="Y11" i="5"/>
  <c r="AA11" i="5" s="1"/>
  <c r="AS11" i="5"/>
  <c r="AU11" i="5" s="1"/>
  <c r="AY11" i="5"/>
  <c r="BA11" i="5" s="1"/>
  <c r="AE10" i="6"/>
  <c r="AE133" i="8"/>
  <c r="Q551" i="5"/>
  <c r="R73" i="5"/>
  <c r="X150" i="8"/>
  <c r="AJ150" i="8" s="1"/>
  <c r="AJ79" i="6"/>
  <c r="AJ131" i="6"/>
  <c r="AE27" i="6"/>
  <c r="Q547" i="5"/>
  <c r="AA325" i="5"/>
  <c r="Z426" i="5"/>
  <c r="Y110" i="8"/>
  <c r="AR110" i="8" s="1"/>
  <c r="X78" i="8"/>
  <c r="AE34" i="8"/>
  <c r="Y22" i="8"/>
  <c r="AR22" i="8" s="1"/>
  <c r="X22" i="8"/>
  <c r="AJ22" i="8" s="1"/>
  <c r="AA12" i="8"/>
  <c r="AC12" i="8" s="1"/>
  <c r="AD12" i="8" s="1"/>
  <c r="X73" i="8"/>
  <c r="AJ73" i="8" s="1"/>
  <c r="AE12" i="8"/>
  <c r="Z59" i="8"/>
  <c r="AN59" i="8" s="1"/>
  <c r="Y73" i="8"/>
  <c r="AR73" i="8" s="1"/>
  <c r="X34" i="8"/>
  <c r="Z68" i="8"/>
  <c r="AN68" i="8" s="1"/>
  <c r="Y108" i="8"/>
  <c r="AR108" i="8" s="1"/>
  <c r="Z20" i="8"/>
  <c r="AN20" i="8" s="1"/>
  <c r="AA68" i="8"/>
  <c r="AQ68" i="8" s="1"/>
  <c r="Z77" i="8"/>
  <c r="AN77" i="8" s="1"/>
  <c r="AE70" i="8"/>
  <c r="AE156" i="8"/>
  <c r="X12" i="8"/>
  <c r="AJ12" i="8" s="1"/>
  <c r="X86" i="8"/>
  <c r="AJ86" i="8" s="1"/>
  <c r="X20" i="8"/>
  <c r="AA20" i="8"/>
  <c r="AE20" i="8"/>
  <c r="AE149" i="8"/>
  <c r="Z14" i="8"/>
  <c r="AN14" i="8" s="1"/>
  <c r="X14" i="8"/>
  <c r="AA14" i="8"/>
  <c r="AC14" i="8" s="1"/>
  <c r="AD14" i="8" s="1"/>
  <c r="AE14" i="8"/>
  <c r="AA25" i="8"/>
  <c r="AP25" i="8" s="1"/>
  <c r="AE81" i="8"/>
  <c r="AE93" i="8"/>
  <c r="X149" i="8"/>
  <c r="AJ149" i="8" s="1"/>
  <c r="AE115" i="8"/>
  <c r="AE86" i="8"/>
  <c r="Z149" i="8"/>
  <c r="AN149" i="8" s="1"/>
  <c r="B173" i="3"/>
  <c r="AE76" i="8"/>
  <c r="X77" i="8"/>
  <c r="AA77" i="8"/>
  <c r="AQ77" i="8" s="1"/>
  <c r="Z101" i="8"/>
  <c r="AN101" i="8" s="1"/>
  <c r="X69" i="8"/>
  <c r="AA59" i="8"/>
  <c r="AC59" i="8" s="1"/>
  <c r="AD59" i="8" s="1"/>
  <c r="AE89" i="8"/>
  <c r="Y115" i="8"/>
  <c r="AR115" i="8" s="1"/>
  <c r="AA93" i="8"/>
  <c r="AC93" i="8" s="1"/>
  <c r="AD93" i="8" s="1"/>
  <c r="Z93" i="8"/>
  <c r="AN93" i="8" s="1"/>
  <c r="AE69" i="8"/>
  <c r="X89" i="8"/>
  <c r="AJ89" i="8" s="1"/>
  <c r="Z21" i="8"/>
  <c r="AN21" i="8" s="1"/>
  <c r="Z76" i="8"/>
  <c r="AN76" i="8" s="1"/>
  <c r="AA86" i="8"/>
  <c r="AC86" i="8" s="1"/>
  <c r="AD86" i="8" s="1"/>
  <c r="Z86" i="8"/>
  <c r="AN86" i="8" s="1"/>
  <c r="AE97" i="6"/>
  <c r="AE120" i="6"/>
  <c r="AJ68" i="6"/>
  <c r="AJ38" i="6"/>
  <c r="Z89" i="8"/>
  <c r="AN89" i="8" s="1"/>
  <c r="AE110" i="8"/>
  <c r="AA105" i="8"/>
  <c r="AA89" i="8"/>
  <c r="AQ89" i="8" s="1"/>
  <c r="Z105" i="8"/>
  <c r="AN105" i="8" s="1"/>
  <c r="AE105" i="8"/>
  <c r="AA21" i="8"/>
  <c r="AQ21" i="8" s="1"/>
  <c r="AE28" i="8"/>
  <c r="X105" i="8"/>
  <c r="AE21" i="8"/>
  <c r="AE25" i="8"/>
  <c r="X28" i="8"/>
  <c r="AJ28" i="8" s="1"/>
  <c r="AA69" i="8"/>
  <c r="AP69" i="8" s="1"/>
  <c r="Z69" i="8"/>
  <c r="AN69" i="8" s="1"/>
  <c r="X25" i="8"/>
  <c r="Z25" i="8"/>
  <c r="AN25" i="8" s="1"/>
  <c r="Y28" i="8"/>
  <c r="AR28" i="8" s="1"/>
  <c r="Z8" i="6"/>
  <c r="Z27" i="6"/>
  <c r="AN27" i="6" s="1"/>
  <c r="Z287" i="5"/>
  <c r="AE72" i="6"/>
  <c r="AJ153" i="6"/>
  <c r="AE8" i="6"/>
  <c r="Y137" i="6"/>
  <c r="AR137" i="6" s="1"/>
  <c r="AE34" i="6"/>
  <c r="AJ37" i="6"/>
  <c r="Y127" i="6"/>
  <c r="AR127" i="6" s="1"/>
  <c r="Z471" i="5"/>
  <c r="AA553" i="5"/>
  <c r="AE63" i="6"/>
  <c r="Z142" i="8"/>
  <c r="AN142" i="8" s="1"/>
  <c r="X142" i="8"/>
  <c r="AJ142" i="8" s="1"/>
  <c r="AA142" i="8"/>
  <c r="AC142" i="8" s="1"/>
  <c r="AD142" i="8" s="1"/>
  <c r="AE142" i="8"/>
  <c r="Y126" i="8"/>
  <c r="AR126" i="8" s="1"/>
  <c r="Z23" i="6"/>
  <c r="AF23" i="6" s="1"/>
  <c r="AG23" i="6" s="1"/>
  <c r="Q242" i="5"/>
  <c r="R255" i="5"/>
  <c r="R298" i="5"/>
  <c r="Q52" i="5"/>
  <c r="R389" i="5"/>
  <c r="R483" i="5"/>
  <c r="Q219" i="5"/>
  <c r="Q183" i="5"/>
  <c r="R253" i="5"/>
  <c r="Q34" i="5"/>
  <c r="Y83" i="6"/>
  <c r="AR83" i="6" s="1"/>
  <c r="AJ156" i="6"/>
  <c r="Q236" i="5"/>
  <c r="AE83" i="6"/>
  <c r="Q414" i="5"/>
  <c r="R130" i="5"/>
  <c r="R279" i="5"/>
  <c r="Q169" i="5"/>
  <c r="Y62" i="6"/>
  <c r="AR62" i="6" s="1"/>
  <c r="Y68" i="6"/>
  <c r="AR68" i="6" s="1"/>
  <c r="Y73" i="6"/>
  <c r="AR73" i="6" s="1"/>
  <c r="Y84" i="6"/>
  <c r="AR84" i="6" s="1"/>
  <c r="Z192" i="5"/>
  <c r="R426" i="5"/>
  <c r="Q217" i="5"/>
  <c r="Q342" i="5"/>
  <c r="Q452" i="5"/>
  <c r="Q202" i="5"/>
  <c r="P11" i="5"/>
  <c r="R11" i="5" s="1"/>
  <c r="R518" i="5"/>
  <c r="Q415" i="5"/>
  <c r="Q39" i="5"/>
  <c r="R100" i="5"/>
  <c r="R390" i="5"/>
  <c r="R285" i="5"/>
  <c r="R381" i="5"/>
  <c r="R65" i="5"/>
  <c r="AE26" i="6"/>
  <c r="AE45" i="6"/>
  <c r="Q177" i="5"/>
  <c r="Q491" i="5"/>
  <c r="R509" i="5"/>
  <c r="R99" i="5"/>
  <c r="R79" i="5"/>
  <c r="AE133" i="6"/>
  <c r="AJ66" i="6"/>
  <c r="Q463" i="5"/>
  <c r="Q508" i="5"/>
  <c r="Q211" i="5"/>
  <c r="R59" i="5"/>
  <c r="AE66" i="6"/>
  <c r="Y49" i="6"/>
  <c r="AR49" i="6" s="1"/>
  <c r="AJ113" i="6"/>
  <c r="Q363" i="5"/>
  <c r="AE49" i="6"/>
  <c r="Y97" i="6"/>
  <c r="AR97" i="6" s="1"/>
  <c r="AJ104" i="6"/>
  <c r="Q254" i="5"/>
  <c r="AJ78" i="6"/>
  <c r="R152" i="5"/>
  <c r="R118" i="5"/>
  <c r="R260" i="5"/>
  <c r="R116" i="5"/>
  <c r="Q96" i="5"/>
  <c r="R178" i="5"/>
  <c r="AJ133" i="6"/>
  <c r="Z132" i="5"/>
  <c r="AE142" i="6"/>
  <c r="Q157" i="5"/>
  <c r="R297" i="5"/>
  <c r="AE23" i="6"/>
  <c r="AE58" i="6"/>
  <c r="Y66" i="6"/>
  <c r="AR66" i="6" s="1"/>
  <c r="Y104" i="6"/>
  <c r="AR104" i="6" s="1"/>
  <c r="Y58" i="6"/>
  <c r="AR58" i="6" s="1"/>
  <c r="AA63" i="5"/>
  <c r="Z547" i="5"/>
  <c r="R359" i="5"/>
  <c r="R291" i="5"/>
  <c r="R94" i="5"/>
  <c r="R430" i="5"/>
  <c r="Q396" i="5"/>
  <c r="Y128" i="6"/>
  <c r="AR128" i="6" s="1"/>
  <c r="AE134" i="8"/>
  <c r="Z229" i="5"/>
  <c r="AA79" i="5"/>
  <c r="AE18" i="6"/>
  <c r="AE62" i="6"/>
  <c r="AJ110" i="6"/>
  <c r="AE139" i="6"/>
  <c r="AE12" i="6"/>
  <c r="Q434" i="5"/>
  <c r="R476" i="5"/>
  <c r="R302" i="5"/>
  <c r="R218" i="5"/>
  <c r="R486" i="5"/>
  <c r="Q410" i="5"/>
  <c r="AE24" i="6"/>
  <c r="Y57" i="6"/>
  <c r="AR57" i="6" s="1"/>
  <c r="X134" i="8"/>
  <c r="AJ134" i="8" s="1"/>
  <c r="AJ46" i="6"/>
  <c r="Q98" i="5"/>
  <c r="R371" i="5"/>
  <c r="Q55" i="5"/>
  <c r="R196" i="5"/>
  <c r="Q388" i="5"/>
  <c r="Q499" i="5"/>
  <c r="Z14" i="6"/>
  <c r="AF14" i="6" s="1"/>
  <c r="AG14" i="6" s="1"/>
  <c r="AA314" i="5"/>
  <c r="Z157" i="8"/>
  <c r="AN157" i="8" s="1"/>
  <c r="R33" i="5"/>
  <c r="Q231" i="5"/>
  <c r="Q480" i="5"/>
  <c r="Q523" i="5"/>
  <c r="R448" i="5"/>
  <c r="Q62" i="5"/>
  <c r="R171" i="5"/>
  <c r="R404" i="5"/>
  <c r="Q487" i="5"/>
  <c r="AE51" i="6"/>
  <c r="Y55" i="6"/>
  <c r="AR55" i="6" s="1"/>
  <c r="Z537" i="5"/>
  <c r="AA555" i="5"/>
  <c r="AJ85" i="6"/>
  <c r="AJ62" i="6"/>
  <c r="Q345" i="5"/>
  <c r="Q552" i="5"/>
  <c r="R221" i="5"/>
  <c r="Q323" i="5"/>
  <c r="AJ100" i="6"/>
  <c r="AE57" i="6"/>
  <c r="AE107" i="6"/>
  <c r="AJ116" i="6"/>
  <c r="R420" i="5"/>
  <c r="AA33" i="6"/>
  <c r="AP33" i="6" s="1"/>
  <c r="Z26" i="6"/>
  <c r="AF26" i="6" s="1"/>
  <c r="AG26" i="6" s="1"/>
  <c r="AJ101" i="6"/>
  <c r="AJ106" i="6"/>
  <c r="AJ157" i="6"/>
  <c r="R496" i="5"/>
  <c r="AE156" i="6"/>
  <c r="R350" i="5"/>
  <c r="Q370" i="5"/>
  <c r="Q309" i="5"/>
  <c r="Q32" i="5"/>
  <c r="Y150" i="6"/>
  <c r="AR150" i="6" s="1"/>
  <c r="AJ115" i="6"/>
  <c r="Q525" i="5"/>
  <c r="Q412" i="5"/>
  <c r="Q327" i="5"/>
  <c r="Z12" i="6"/>
  <c r="AN12" i="6" s="1"/>
  <c r="AJ107" i="6"/>
  <c r="AE106" i="6"/>
  <c r="AE116" i="6"/>
  <c r="Y78" i="6"/>
  <c r="AR78" i="6" s="1"/>
  <c r="Q247" i="5"/>
  <c r="R229" i="5"/>
  <c r="R505" i="5"/>
  <c r="Q521" i="5"/>
  <c r="R409" i="5"/>
  <c r="AJ57" i="6"/>
  <c r="AE104" i="6"/>
  <c r="Q417" i="5"/>
  <c r="Y100" i="6"/>
  <c r="AR100" i="6" s="1"/>
  <c r="AE155" i="6"/>
  <c r="AJ152" i="6"/>
  <c r="Q263" i="5"/>
  <c r="Q385" i="5"/>
  <c r="R328" i="5"/>
  <c r="Z36" i="6"/>
  <c r="AF36" i="6" s="1"/>
  <c r="AG36" i="6" s="1"/>
  <c r="AE25" i="6"/>
  <c r="AJ139" i="6"/>
  <c r="Y129" i="6"/>
  <c r="AR129" i="6" s="1"/>
  <c r="Y116" i="6"/>
  <c r="AR116" i="6" s="1"/>
  <c r="AJ150" i="6"/>
  <c r="AE9" i="6"/>
  <c r="AA36" i="6"/>
  <c r="AQ36" i="6" s="1"/>
  <c r="Z34" i="6"/>
  <c r="AN34" i="6" s="1"/>
  <c r="AJ154" i="6"/>
  <c r="AJ87" i="6"/>
  <c r="AJ114" i="6"/>
  <c r="AJ75" i="6"/>
  <c r="AJ43" i="6"/>
  <c r="AE36" i="6"/>
  <c r="Y87" i="6"/>
  <c r="AR87" i="6" s="1"/>
  <c r="AJ102" i="6"/>
  <c r="AE87" i="6"/>
  <c r="Z9" i="6"/>
  <c r="AN9" i="6" s="1"/>
  <c r="Z25" i="6"/>
  <c r="AF25" i="6" s="1"/>
  <c r="AG25" i="6" s="1"/>
  <c r="Y114" i="6"/>
  <c r="AR114" i="6" s="1"/>
  <c r="AA34" i="6"/>
  <c r="AC34" i="6" s="1"/>
  <c r="AD34" i="6" s="1"/>
  <c r="AE101" i="6"/>
  <c r="AE37" i="6"/>
  <c r="AE75" i="6"/>
  <c r="AE85" i="6"/>
  <c r="AE128" i="6"/>
  <c r="AE154" i="6"/>
  <c r="Y37" i="6"/>
  <c r="AR37" i="6" s="1"/>
  <c r="Y85" i="6"/>
  <c r="AR85" i="6" s="1"/>
  <c r="Y154" i="6"/>
  <c r="AR154" i="6" s="1"/>
  <c r="AJ149" i="6"/>
  <c r="AJ130" i="6"/>
  <c r="AE59" i="6"/>
  <c r="Z214" i="5"/>
  <c r="AA180" i="5"/>
  <c r="Z161" i="5"/>
  <c r="AA134" i="5"/>
  <c r="Z364" i="5"/>
  <c r="Z439" i="5"/>
  <c r="AE117" i="6"/>
  <c r="AJ146" i="6"/>
  <c r="AE86" i="6"/>
  <c r="AE30" i="6"/>
  <c r="AA106" i="5"/>
  <c r="AA407" i="5"/>
  <c r="AE99" i="6"/>
  <c r="AA30" i="6"/>
  <c r="AP30" i="6" s="1"/>
  <c r="Z149" i="5"/>
  <c r="Z296" i="5"/>
  <c r="AJ59" i="6"/>
  <c r="AE130" i="6"/>
  <c r="Z30" i="6"/>
  <c r="AN30" i="6" s="1"/>
  <c r="Z554" i="5"/>
  <c r="AA552" i="5"/>
  <c r="AE70" i="6"/>
  <c r="Y43" i="6"/>
  <c r="AR43" i="6" s="1"/>
  <c r="Y130" i="6"/>
  <c r="AR130" i="6" s="1"/>
  <c r="Z399" i="5"/>
  <c r="AE43" i="6"/>
  <c r="Y99" i="6"/>
  <c r="AR99" i="6" s="1"/>
  <c r="Z560" i="5"/>
  <c r="AE146" i="6"/>
  <c r="AJ137" i="6"/>
  <c r="Z428" i="5"/>
  <c r="AA452" i="5"/>
  <c r="Y86" i="6"/>
  <c r="AR86" i="6" s="1"/>
  <c r="Y70" i="6"/>
  <c r="AR70" i="6" s="1"/>
  <c r="Y146" i="6"/>
  <c r="AR146" i="6" s="1"/>
  <c r="AA472" i="5"/>
  <c r="Z20" i="5"/>
  <c r="Z367" i="5"/>
  <c r="AA94" i="5"/>
  <c r="Z12" i="5"/>
  <c r="AE115" i="6"/>
  <c r="Z550" i="5"/>
  <c r="AA84" i="5"/>
  <c r="Z420" i="5"/>
  <c r="Z144" i="5"/>
  <c r="Z273" i="5"/>
  <c r="AE149" i="6"/>
  <c r="Z327" i="5"/>
  <c r="Z141" i="5"/>
  <c r="Z402" i="5"/>
  <c r="Z386" i="5"/>
  <c r="AA253" i="5"/>
  <c r="Z543" i="5"/>
  <c r="AA48" i="5"/>
  <c r="Z546" i="5"/>
  <c r="Z10" i="5"/>
  <c r="AA198" i="5"/>
  <c r="AA97" i="5"/>
  <c r="Z309" i="5"/>
  <c r="AA137" i="5"/>
  <c r="AA286" i="5"/>
  <c r="Y149" i="6"/>
  <c r="AR149" i="6" s="1"/>
  <c r="AA38" i="5"/>
  <c r="Z306" i="5"/>
  <c r="Z167" i="5"/>
  <c r="AA473" i="5"/>
  <c r="AE140" i="6"/>
  <c r="Z261" i="5"/>
  <c r="Z362" i="5"/>
  <c r="AA156" i="5"/>
  <c r="Z203" i="5"/>
  <c r="AA263" i="5"/>
  <c r="Z274" i="5"/>
  <c r="AE13" i="6"/>
  <c r="Y140" i="6"/>
  <c r="AR140" i="6" s="1"/>
  <c r="Z29" i="6"/>
  <c r="AF29" i="6" s="1"/>
  <c r="AG29" i="6" s="1"/>
  <c r="AJ119" i="6"/>
  <c r="AJ80" i="6"/>
  <c r="AE14" i="6"/>
  <c r="AA461" i="5"/>
  <c r="AA66" i="5"/>
  <c r="Z530" i="5"/>
  <c r="AJ121" i="6"/>
  <c r="Z474" i="5"/>
  <c r="AA89" i="5"/>
  <c r="AA397" i="5"/>
  <c r="AA492" i="5"/>
  <c r="AE67" i="6"/>
  <c r="Y115" i="6"/>
  <c r="AR115" i="6" s="1"/>
  <c r="AA71" i="5"/>
  <c r="AA171" i="5"/>
  <c r="AA498" i="5"/>
  <c r="Z548" i="5"/>
  <c r="Z174" i="5"/>
  <c r="AJ105" i="6"/>
  <c r="Y119" i="6"/>
  <c r="AR119" i="6" s="1"/>
  <c r="AE60" i="6"/>
  <c r="AA127" i="5"/>
  <c r="Z531" i="5"/>
  <c r="Y50" i="6"/>
  <c r="AR50" i="6" s="1"/>
  <c r="Y139" i="6"/>
  <c r="AR139" i="6" s="1"/>
  <c r="Z92" i="5"/>
  <c r="AA329" i="5"/>
  <c r="Z119" i="5"/>
  <c r="Z443" i="5"/>
  <c r="AE119" i="6"/>
  <c r="Z113" i="5"/>
  <c r="AE80" i="6"/>
  <c r="AA182" i="5"/>
  <c r="Z303" i="5"/>
  <c r="AA107" i="5"/>
  <c r="Z500" i="5"/>
  <c r="AJ117" i="6"/>
  <c r="AA382" i="5"/>
  <c r="AA139" i="5"/>
  <c r="Z43" i="5"/>
  <c r="Z374" i="5"/>
  <c r="AA193" i="5"/>
  <c r="AA74" i="5"/>
  <c r="AJ60" i="6"/>
  <c r="AE46" i="6"/>
  <c r="AA126" i="5"/>
  <c r="AA502" i="5"/>
  <c r="Z187" i="5"/>
  <c r="AA148" i="5"/>
  <c r="AA383" i="5"/>
  <c r="AJ144" i="6"/>
  <c r="AA218" i="5"/>
  <c r="Z501" i="5"/>
  <c r="Z361" i="5"/>
  <c r="AA324" i="5"/>
  <c r="Z351" i="5"/>
  <c r="AA483" i="5"/>
  <c r="Z55" i="5"/>
  <c r="AA269" i="5"/>
  <c r="Z95" i="5"/>
  <c r="AA262" i="5"/>
  <c r="AA160" i="5"/>
  <c r="AA276" i="5"/>
  <c r="Z169" i="5"/>
  <c r="AA21" i="5"/>
  <c r="Z460" i="5"/>
  <c r="Z330" i="5"/>
  <c r="Z266" i="5"/>
  <c r="Z267" i="5"/>
  <c r="Z259" i="5"/>
  <c r="Z35" i="5"/>
  <c r="AA433" i="5"/>
  <c r="AJ56" i="6"/>
  <c r="AA29" i="6"/>
  <c r="AC29" i="6" s="1"/>
  <c r="AD29" i="6" s="1"/>
  <c r="AJ81" i="6"/>
  <c r="AJ88" i="6"/>
  <c r="Z99" i="5"/>
  <c r="AA90" i="5"/>
  <c r="Z368" i="5"/>
  <c r="Z432" i="5"/>
  <c r="Z366" i="5"/>
  <c r="Z352" i="5"/>
  <c r="Z13" i="5"/>
  <c r="Y117" i="6"/>
  <c r="AR117" i="6" s="1"/>
  <c r="Z191" i="5"/>
  <c r="Z387" i="5"/>
  <c r="AA34" i="5"/>
  <c r="AA181" i="5"/>
  <c r="Z482" i="5"/>
  <c r="AJ90" i="6"/>
  <c r="Z207" i="5"/>
  <c r="AA158" i="5"/>
  <c r="Z227" i="5"/>
  <c r="AA442" i="5"/>
  <c r="Z78" i="5"/>
  <c r="AA35" i="6"/>
  <c r="AQ35" i="6" s="1"/>
  <c r="AE29" i="6"/>
  <c r="AA173" i="5"/>
  <c r="Z526" i="5"/>
  <c r="Z122" i="5"/>
  <c r="AA350" i="5"/>
  <c r="Z42" i="5"/>
  <c r="Z359" i="5"/>
  <c r="AJ151" i="6"/>
  <c r="AE81" i="6"/>
  <c r="Z15" i="6"/>
  <c r="AF15" i="6" s="1"/>
  <c r="AG15" i="6" s="1"/>
  <c r="Z289" i="5"/>
  <c r="Z415" i="5"/>
  <c r="AE15" i="6"/>
  <c r="Y88" i="6"/>
  <c r="AR88" i="6" s="1"/>
  <c r="Z186" i="5"/>
  <c r="AA302" i="5"/>
  <c r="Z505" i="5"/>
  <c r="Z326" i="5"/>
  <c r="Z22" i="6"/>
  <c r="AN22" i="6" s="1"/>
  <c r="AA487" i="5"/>
  <c r="Y56" i="6"/>
  <c r="AR56" i="6" s="1"/>
  <c r="Z378" i="5"/>
  <c r="Z28" i="5"/>
  <c r="Z401" i="5"/>
  <c r="AA271" i="5"/>
  <c r="Z117" i="5"/>
  <c r="AA334" i="5"/>
  <c r="AJ145" i="6"/>
  <c r="AJ52" i="6"/>
  <c r="AE88" i="6"/>
  <c r="Z151" i="5"/>
  <c r="AA102" i="5"/>
  <c r="AA118" i="5"/>
  <c r="Z105" i="5"/>
  <c r="AA333" i="5"/>
  <c r="AA421" i="5"/>
  <c r="Z423" i="5"/>
  <c r="Z32" i="5"/>
  <c r="Z18" i="6"/>
  <c r="AF18" i="6" s="1"/>
  <c r="AG18" i="6" s="1"/>
  <c r="AE56" i="6"/>
  <c r="Z384" i="5"/>
  <c r="Z370" i="5"/>
  <c r="Z438" i="5"/>
  <c r="AA541" i="5"/>
  <c r="Z260" i="5"/>
  <c r="Z36" i="5"/>
  <c r="Y40" i="6"/>
  <c r="AR40" i="6" s="1"/>
  <c r="Z363" i="5"/>
  <c r="AA392" i="5"/>
  <c r="Z108" i="5"/>
  <c r="Z69" i="5"/>
  <c r="Z224" i="5"/>
  <c r="AA336" i="5"/>
  <c r="Z372" i="5"/>
  <c r="AA412" i="5"/>
  <c r="Z241" i="5"/>
  <c r="AA297" i="5"/>
  <c r="Z201" i="5"/>
  <c r="AA389" i="5"/>
  <c r="AA339" i="5"/>
  <c r="AE100" i="6"/>
  <c r="AE102" i="6"/>
  <c r="Z437" i="5"/>
  <c r="Z448" i="5"/>
  <c r="Z393" i="5"/>
  <c r="AA153" i="5"/>
  <c r="Z209" i="5"/>
  <c r="Z72" i="5"/>
  <c r="Z344" i="5"/>
  <c r="AJ108" i="6"/>
  <c r="AE152" i="6"/>
  <c r="AJ155" i="6"/>
  <c r="AA459" i="5"/>
  <c r="Z453" i="5"/>
  <c r="Z411" i="5"/>
  <c r="Z165" i="5"/>
  <c r="Z322" i="5"/>
  <c r="Z409" i="5"/>
  <c r="AA194" i="5"/>
  <c r="Z25" i="5"/>
  <c r="AA19" i="5"/>
  <c r="Z458" i="5"/>
  <c r="AA216" i="5"/>
  <c r="AE41" i="6"/>
  <c r="AE19" i="6"/>
  <c r="Z294" i="5"/>
  <c r="AA404" i="5"/>
  <c r="Y102" i="6"/>
  <c r="AR102" i="6" s="1"/>
  <c r="AA337" i="5"/>
  <c r="Z457" i="5"/>
  <c r="Z249" i="5"/>
  <c r="AA348" i="5"/>
  <c r="Z454" i="5"/>
  <c r="Z319" i="5"/>
  <c r="AA26" i="5"/>
  <c r="Z237" i="5"/>
  <c r="AA154" i="5"/>
  <c r="AA162" i="5"/>
  <c r="AJ123" i="6"/>
  <c r="Z210" i="5"/>
  <c r="Y64" i="6"/>
  <c r="AR64" i="6" s="1"/>
  <c r="Y90" i="6"/>
  <c r="AR90" i="6" s="1"/>
  <c r="AA244" i="5"/>
  <c r="AA449" i="5"/>
  <c r="AA416" i="5"/>
  <c r="AA217" i="5"/>
  <c r="Z356" i="5"/>
  <c r="Z355" i="5"/>
  <c r="B174" i="3"/>
  <c r="AA258" i="5"/>
  <c r="Z522" i="5"/>
  <c r="Z343" i="5"/>
  <c r="AA243" i="5"/>
  <c r="AA556" i="5"/>
  <c r="Z463" i="5"/>
  <c r="Z147" i="5"/>
  <c r="AA240" i="5"/>
  <c r="Z497" i="5"/>
  <c r="AA512" i="5"/>
  <c r="AA316" i="5"/>
  <c r="Z332" i="5"/>
  <c r="Z57" i="5"/>
  <c r="Z507" i="5"/>
  <c r="AA353" i="5"/>
  <c r="AA146" i="5"/>
  <c r="AA281" i="5"/>
  <c r="Z114" i="5"/>
  <c r="AA265" i="5"/>
  <c r="R539" i="5"/>
  <c r="Q481" i="5"/>
  <c r="Q258" i="5"/>
  <c r="R267" i="5"/>
  <c r="Q119" i="5"/>
  <c r="R113" i="5"/>
  <c r="R372" i="5"/>
  <c r="Q277" i="5"/>
  <c r="Q8" i="5"/>
  <c r="Q506" i="5"/>
  <c r="R397" i="5"/>
  <c r="Q131" i="5"/>
  <c r="Q303" i="5"/>
  <c r="Z19" i="6"/>
  <c r="AF19" i="6" s="1"/>
  <c r="AG19" i="6" s="1"/>
  <c r="Y41" i="6"/>
  <c r="AR41" i="6" s="1"/>
  <c r="Q383" i="5"/>
  <c r="Q147" i="5"/>
  <c r="R456" i="5"/>
  <c r="Q150" i="5"/>
  <c r="Q31" i="5"/>
  <c r="Q528" i="5"/>
  <c r="Q386" i="5"/>
  <c r="Q325" i="5"/>
  <c r="R507" i="5"/>
  <c r="R241" i="5"/>
  <c r="Q125" i="5"/>
  <c r="AH61" i="6"/>
  <c r="AE108" i="6"/>
  <c r="AE54" i="6"/>
  <c r="Y152" i="6"/>
  <c r="AR152" i="6" s="1"/>
  <c r="Y108" i="6"/>
  <c r="AR108" i="6" s="1"/>
  <c r="Q289" i="5"/>
  <c r="R374" i="5"/>
  <c r="Q344" i="5"/>
  <c r="Q181" i="5"/>
  <c r="Q280" i="5"/>
  <c r="Q422" i="5"/>
  <c r="AH59" i="6"/>
  <c r="AA78" i="8"/>
  <c r="AQ78" i="8" s="1"/>
  <c r="AE94" i="8"/>
  <c r="Q473" i="5"/>
  <c r="Q78" i="5"/>
  <c r="Q407" i="5"/>
  <c r="Q228" i="5"/>
  <c r="R121" i="5"/>
  <c r="AH107" i="6"/>
  <c r="AE105" i="6"/>
  <c r="R403" i="5"/>
  <c r="Q469" i="5"/>
  <c r="Q128" i="5"/>
  <c r="Q239" i="5"/>
  <c r="Q82" i="5"/>
  <c r="Q534" i="5"/>
  <c r="Q305" i="5"/>
  <c r="AH68" i="6"/>
  <c r="Z35" i="6"/>
  <c r="AN35" i="6" s="1"/>
  <c r="Y54" i="6"/>
  <c r="AR54" i="6" s="1"/>
  <c r="Y155" i="6"/>
  <c r="AR155" i="6" s="1"/>
  <c r="R148" i="5"/>
  <c r="Q416" i="5"/>
  <c r="Q462" i="5"/>
  <c r="Q174" i="5"/>
  <c r="Q477" i="5"/>
  <c r="AH74" i="6"/>
  <c r="AE35" i="6"/>
  <c r="Y105" i="6"/>
  <c r="AR105" i="6" s="1"/>
  <c r="Z310" i="5"/>
  <c r="Z170" i="5"/>
  <c r="AA200" i="5"/>
  <c r="Z308" i="5"/>
  <c r="Z8" i="5"/>
  <c r="Z59" i="5"/>
  <c r="Z477" i="5"/>
  <c r="Z377" i="5"/>
  <c r="Z307" i="5"/>
  <c r="Z410" i="5"/>
  <c r="AA450" i="5"/>
  <c r="Z540" i="5"/>
  <c r="Z408" i="5"/>
  <c r="Z304" i="5"/>
  <c r="Z68" i="5"/>
  <c r="AA341" i="5"/>
  <c r="Z53" i="5"/>
  <c r="Z233" i="5"/>
  <c r="AA275" i="5"/>
  <c r="Z272" i="5"/>
  <c r="Z110" i="5"/>
  <c r="Z125" i="5"/>
  <c r="Z516" i="5"/>
  <c r="Z379" i="5"/>
  <c r="AA305" i="5"/>
  <c r="AA489" i="5"/>
  <c r="Z226" i="5"/>
  <c r="AA545" i="5"/>
  <c r="Z517" i="5"/>
  <c r="AA212" i="5"/>
  <c r="Z33" i="5"/>
  <c r="Z185" i="5"/>
  <c r="Z87" i="5"/>
  <c r="AA529" i="5"/>
  <c r="AA436" i="5"/>
  <c r="AA469" i="5"/>
  <c r="Z486" i="5"/>
  <c r="Z196" i="5"/>
  <c r="AA395" i="5"/>
  <c r="AA238" i="5"/>
  <c r="AA335" i="5"/>
  <c r="AA277" i="5"/>
  <c r="Z511" i="5"/>
  <c r="Z490" i="5"/>
  <c r="AA223" i="5"/>
  <c r="AA479" i="5"/>
  <c r="Z292" i="5"/>
  <c r="AA513" i="5"/>
  <c r="Z295" i="5"/>
  <c r="Z551" i="5"/>
  <c r="AA445" i="5"/>
  <c r="Q194" i="5"/>
  <c r="Q225" i="5"/>
  <c r="Q501" i="5"/>
  <c r="R134" i="5"/>
  <c r="Q321" i="5"/>
  <c r="Q329" i="5"/>
  <c r="R513" i="5"/>
  <c r="R197" i="5"/>
  <c r="Q402" i="5"/>
  <c r="R514" i="5"/>
  <c r="R356" i="5"/>
  <c r="R399" i="5"/>
  <c r="Q283" i="5"/>
  <c r="Q369" i="5"/>
  <c r="Q435" i="5"/>
  <c r="Q300" i="5"/>
  <c r="R301" i="5"/>
  <c r="R384" i="5"/>
  <c r="Q377" i="5"/>
  <c r="R187" i="5"/>
  <c r="Q365" i="5"/>
  <c r="Q214" i="5"/>
  <c r="R256" i="5"/>
  <c r="R449" i="5"/>
  <c r="Q190" i="5"/>
  <c r="Q240" i="5"/>
  <c r="R347" i="5"/>
  <c r="Q87" i="5"/>
  <c r="Q355" i="5"/>
  <c r="Q395" i="5"/>
  <c r="Q307" i="5"/>
  <c r="Y46" i="6"/>
  <c r="AR46" i="6" s="1"/>
  <c r="AI11" i="5"/>
  <c r="AJ11" i="5" s="1"/>
  <c r="R497" i="5"/>
  <c r="R259" i="5"/>
  <c r="R257" i="5"/>
  <c r="AE79" i="6"/>
  <c r="AE126" i="8"/>
  <c r="AV11" i="5"/>
  <c r="AX11" i="5" s="1"/>
  <c r="Q406" i="5"/>
  <c r="R145" i="5"/>
  <c r="Q266" i="5"/>
  <c r="Q428" i="5"/>
  <c r="R451" i="5"/>
  <c r="R471" i="5"/>
  <c r="AA157" i="8"/>
  <c r="AC157" i="8" s="1"/>
  <c r="AD157" i="8" s="1"/>
  <c r="R405" i="5"/>
  <c r="Q67" i="5"/>
  <c r="R271" i="5"/>
  <c r="Q76" i="5"/>
  <c r="Q189" i="5"/>
  <c r="AE121" i="6"/>
  <c r="Y121" i="6"/>
  <c r="AR121" i="6" s="1"/>
  <c r="S11" i="5"/>
  <c r="U11" i="5" s="1"/>
  <c r="Q353" i="5"/>
  <c r="R375" i="5"/>
  <c r="Q427" i="5"/>
  <c r="Q310" i="5"/>
  <c r="Q108" i="5"/>
  <c r="R111" i="5"/>
  <c r="Q209" i="5"/>
  <c r="Q249" i="5"/>
  <c r="R535" i="5"/>
  <c r="R516" i="5"/>
  <c r="R392" i="5"/>
  <c r="Y79" i="6"/>
  <c r="AR79" i="6" s="1"/>
  <c r="Y96" i="6"/>
  <c r="AR96" i="6" s="1"/>
  <c r="AF141" i="8"/>
  <c r="AG141" i="8" s="1"/>
  <c r="R198" i="5"/>
  <c r="Q156" i="5"/>
  <c r="AH9" i="6"/>
  <c r="AH114" i="6"/>
  <c r="AH91" i="6"/>
  <c r="AH83" i="6"/>
  <c r="AH21" i="6"/>
  <c r="AH51" i="6"/>
  <c r="AH85" i="6"/>
  <c r="AH27" i="6"/>
  <c r="AH116" i="6"/>
  <c r="AH109" i="6"/>
  <c r="AH37" i="6"/>
  <c r="AH35" i="6"/>
  <c r="AH126" i="6"/>
  <c r="AH122" i="6"/>
  <c r="AH17" i="6"/>
  <c r="AH78" i="6"/>
  <c r="AH142" i="6"/>
  <c r="AH71" i="6"/>
  <c r="AH47" i="6"/>
  <c r="Y38" i="8"/>
  <c r="AR38" i="8" s="1"/>
  <c r="AH120" i="6"/>
  <c r="AH46" i="6"/>
  <c r="AH95" i="6"/>
  <c r="AH121" i="6"/>
  <c r="AH148" i="6"/>
  <c r="AH104" i="6"/>
  <c r="AH70" i="6"/>
  <c r="AH82" i="6"/>
  <c r="AH20" i="6"/>
  <c r="AH133" i="6"/>
  <c r="AH45" i="6"/>
  <c r="AH19" i="6"/>
  <c r="AH48" i="6"/>
  <c r="AH39" i="6"/>
  <c r="AH138" i="6"/>
  <c r="AH60" i="6"/>
  <c r="AH25" i="6"/>
  <c r="AH67" i="6"/>
  <c r="X102" i="8"/>
  <c r="AJ102" i="8" s="1"/>
  <c r="AE102" i="8"/>
  <c r="AF44" i="8"/>
  <c r="AG44" i="8" s="1"/>
  <c r="Z81" i="5"/>
  <c r="AA434" i="5"/>
  <c r="Z369" i="5"/>
  <c r="AA476" i="5"/>
  <c r="AA164" i="5"/>
  <c r="Z31" i="5"/>
  <c r="Z98" i="5"/>
  <c r="AA357" i="5"/>
  <c r="AA252" i="5"/>
  <c r="AA29" i="5"/>
  <c r="Z519" i="5"/>
  <c r="AA257" i="5"/>
  <c r="Z427" i="5"/>
  <c r="Z199" i="5"/>
  <c r="Z85" i="5"/>
  <c r="AA133" i="5"/>
  <c r="Z219" i="5"/>
  <c r="Z288" i="5"/>
  <c r="AA380" i="5"/>
  <c r="AA365" i="5"/>
  <c r="Z358" i="5"/>
  <c r="AA268" i="5"/>
  <c r="AA44" i="5"/>
  <c r="Z425" i="5"/>
  <c r="AA506" i="5"/>
  <c r="AA371" i="5"/>
  <c r="Z414" i="5"/>
  <c r="Z213" i="5"/>
  <c r="Z242" i="5"/>
  <c r="AA49" i="5"/>
  <c r="Z462" i="5"/>
  <c r="AA188" i="5"/>
  <c r="AA123" i="5"/>
  <c r="Z455" i="5"/>
  <c r="Z183" i="5"/>
  <c r="AA202" i="5"/>
  <c r="AA39" i="5"/>
  <c r="AA521" i="5"/>
  <c r="AA532" i="5"/>
  <c r="Z51" i="5"/>
  <c r="AA104" i="5"/>
  <c r="Z83" i="5"/>
  <c r="Z103" i="5"/>
  <c r="Z478" i="5"/>
  <c r="AA503" i="5"/>
  <c r="Z70" i="5"/>
  <c r="Z493" i="5"/>
  <c r="AA30" i="5"/>
  <c r="Z77" i="5"/>
  <c r="AA47" i="5"/>
  <c r="Z484" i="5"/>
  <c r="AA536" i="5"/>
  <c r="Z520" i="5"/>
  <c r="Z299" i="5"/>
  <c r="AA328" i="5"/>
  <c r="Z464" i="5"/>
  <c r="Z251" i="5"/>
  <c r="AA184" i="5"/>
  <c r="AA142" i="5"/>
  <c r="AA248" i="5"/>
  <c r="Z248" i="5"/>
  <c r="Z116" i="5"/>
  <c r="Z247" i="5"/>
  <c r="Z559" i="5"/>
  <c r="AH96" i="6"/>
  <c r="AH89" i="6"/>
  <c r="AF55" i="8"/>
  <c r="AG55" i="8" s="1"/>
  <c r="AJ98" i="6"/>
  <c r="AJ94" i="6"/>
  <c r="Q366" i="5"/>
  <c r="Q75" i="5"/>
  <c r="Q398" i="5"/>
  <c r="Q527" i="5"/>
  <c r="Q20" i="5"/>
  <c r="Q192" i="5"/>
  <c r="R138" i="5"/>
  <c r="Q536" i="5"/>
  <c r="Q532" i="5"/>
  <c r="AH12" i="6"/>
  <c r="AH77" i="6"/>
  <c r="AH149" i="6"/>
  <c r="AH58" i="6"/>
  <c r="AH117" i="6"/>
  <c r="AH112" i="6"/>
  <c r="AH66" i="6"/>
  <c r="AH84" i="6"/>
  <c r="AH75" i="6"/>
  <c r="AH32" i="6"/>
  <c r="AH33" i="6"/>
  <c r="AH55" i="6"/>
  <c r="AH73" i="6"/>
  <c r="AH16" i="6"/>
  <c r="AH7" i="6"/>
  <c r="R28" i="5"/>
  <c r="Q158" i="5"/>
  <c r="R522" i="5"/>
  <c r="R184" i="5"/>
  <c r="Q139" i="5"/>
  <c r="R143" i="5"/>
  <c r="R361" i="5"/>
  <c r="Q234" i="5"/>
  <c r="R294" i="5"/>
  <c r="Q357" i="5"/>
  <c r="Q458" i="5"/>
  <c r="Q85" i="5"/>
  <c r="R53" i="5"/>
  <c r="R91" i="5"/>
  <c r="Q493" i="5"/>
  <c r="AH103" i="6"/>
  <c r="AH136" i="6"/>
  <c r="AH115" i="6"/>
  <c r="AH79" i="6"/>
  <c r="AH69" i="6"/>
  <c r="AH132" i="6"/>
  <c r="AH98" i="6"/>
  <c r="AH156" i="6"/>
  <c r="AH56" i="6"/>
  <c r="AH119" i="6"/>
  <c r="AH90" i="6"/>
  <c r="AH29" i="6"/>
  <c r="AH81" i="6"/>
  <c r="AF12" i="8"/>
  <c r="AG12" i="8" s="1"/>
  <c r="R320" i="5"/>
  <c r="R142" i="5"/>
  <c r="Q295" i="5"/>
  <c r="R110" i="5"/>
  <c r="AE52" i="6"/>
  <c r="Y145" i="6"/>
  <c r="AR145" i="6" s="1"/>
  <c r="Y52" i="6"/>
  <c r="AR52" i="6" s="1"/>
  <c r="Q559" i="5"/>
  <c r="R349" i="5"/>
  <c r="Q54" i="5"/>
  <c r="R97" i="5"/>
  <c r="Q23" i="5"/>
  <c r="R488" i="5"/>
  <c r="R176" i="5"/>
  <c r="Q336" i="5"/>
  <c r="AH151" i="6"/>
  <c r="AH80" i="6"/>
  <c r="AH135" i="6"/>
  <c r="AH28" i="6"/>
  <c r="AH94" i="6"/>
  <c r="AH44" i="6"/>
  <c r="AH125" i="6"/>
  <c r="AH50" i="6"/>
  <c r="AH18" i="6"/>
  <c r="AH123" i="6"/>
  <c r="AH145" i="6"/>
  <c r="AH26" i="6"/>
  <c r="AH99" i="6"/>
  <c r="AH34" i="6"/>
  <c r="R173" i="5"/>
  <c r="Q22" i="5"/>
  <c r="Q554" i="5"/>
  <c r="Q348" i="5"/>
  <c r="Q447" i="5"/>
  <c r="R288" i="5"/>
  <c r="Q179" i="5"/>
  <c r="Q472" i="5"/>
  <c r="R21" i="5"/>
  <c r="AH92" i="6"/>
  <c r="AH105" i="6"/>
  <c r="AH23" i="6"/>
  <c r="AH49" i="6"/>
  <c r="AH108" i="6"/>
  <c r="AH53" i="6"/>
  <c r="AH36" i="6"/>
  <c r="AH97" i="6"/>
  <c r="AH8" i="6"/>
  <c r="AH129" i="6"/>
  <c r="AH157" i="6"/>
  <c r="AH86" i="6"/>
  <c r="AH144" i="6"/>
  <c r="AA39" i="8"/>
  <c r="AC39" i="8" s="1"/>
  <c r="AD39" i="8" s="1"/>
  <c r="AH57" i="6"/>
  <c r="AH106" i="6"/>
  <c r="AH38" i="6"/>
  <c r="AH65" i="6"/>
  <c r="AH15" i="6"/>
  <c r="AH42" i="6"/>
  <c r="AH153" i="6"/>
  <c r="AH54" i="6"/>
  <c r="AH11" i="6"/>
  <c r="AH10" i="6"/>
  <c r="AH24" i="6"/>
  <c r="AH88" i="6"/>
  <c r="AH128" i="6"/>
  <c r="AH118" i="6"/>
  <c r="AE145" i="6"/>
  <c r="Z39" i="8"/>
  <c r="AN39" i="8" s="1"/>
  <c r="AJ96" i="6"/>
  <c r="AA318" i="5"/>
  <c r="AH63" i="6"/>
  <c r="AE90" i="6"/>
  <c r="AA54" i="5"/>
  <c r="Z11" i="6"/>
  <c r="AF11" i="6" s="1"/>
  <c r="AG11" i="6" s="1"/>
  <c r="Z40" i="5"/>
  <c r="Z418" i="5"/>
  <c r="Z100" i="5"/>
  <c r="AA549" i="5"/>
  <c r="AE64" i="6"/>
  <c r="Z37" i="5"/>
  <c r="Z135" i="5"/>
  <c r="Z235" i="5"/>
  <c r="AA444" i="5"/>
  <c r="AA178" i="5"/>
  <c r="Z178" i="5"/>
  <c r="Z231" i="5"/>
  <c r="AA231" i="5"/>
  <c r="AA315" i="5"/>
  <c r="Z315" i="5"/>
  <c r="Z481" i="5"/>
  <c r="Z228" i="5"/>
  <c r="AJ64" i="6"/>
  <c r="Z179" i="5"/>
  <c r="AA155" i="5"/>
  <c r="Z518" i="5"/>
  <c r="AA205" i="5"/>
  <c r="AA480" i="5"/>
  <c r="AA321" i="5"/>
  <c r="Z91" i="5"/>
  <c r="Z76" i="5"/>
  <c r="Z45" i="5"/>
  <c r="AA67" i="5"/>
  <c r="AA354" i="5"/>
  <c r="Z290" i="5"/>
  <c r="AA290" i="5"/>
  <c r="AA197" i="5"/>
  <c r="Z197" i="5"/>
  <c r="AA510" i="5"/>
  <c r="Z510" i="5"/>
  <c r="Z311" i="5"/>
  <c r="AA311" i="5"/>
  <c r="AA291" i="5"/>
  <c r="Z112" i="5"/>
  <c r="AE150" i="6"/>
  <c r="AE96" i="6"/>
  <c r="AA468" i="5"/>
  <c r="Z280" i="5"/>
  <c r="AA435" i="5"/>
  <c r="AA270" i="5"/>
  <c r="Z65" i="5"/>
  <c r="Z73" i="5"/>
  <c r="AE94" i="6"/>
  <c r="AA485" i="5"/>
  <c r="Z485" i="5"/>
  <c r="Z24" i="5"/>
  <c r="AA24" i="5"/>
  <c r="Z50" i="5"/>
  <c r="AA50" i="5"/>
  <c r="AA396" i="5"/>
  <c r="AA75" i="5"/>
  <c r="Z61" i="5"/>
  <c r="Z440" i="5"/>
  <c r="Z430" i="5"/>
  <c r="AA234" i="5"/>
  <c r="Z220" i="5"/>
  <c r="Z211" i="5"/>
  <c r="AA215" i="5"/>
  <c r="Z539" i="5"/>
  <c r="AE40" i="6"/>
  <c r="Z236" i="5"/>
  <c r="AA230" i="5"/>
  <c r="Z230" i="5"/>
  <c r="AA403" i="5"/>
  <c r="Z403" i="5"/>
  <c r="Z282" i="5"/>
  <c r="AA282" i="5"/>
  <c r="AA342" i="5"/>
  <c r="AA525" i="5"/>
  <c r="Z495" i="5"/>
  <c r="AA150" i="5"/>
  <c r="AA313" i="5"/>
  <c r="Z298" i="5"/>
  <c r="Z508" i="5"/>
  <c r="Z166" i="5"/>
  <c r="AA405" i="5"/>
  <c r="Z177" i="5"/>
  <c r="Z496" i="5"/>
  <c r="Z88" i="5"/>
  <c r="AA88" i="5"/>
  <c r="Z441" i="5"/>
  <c r="AA441" i="5"/>
  <c r="AA246" i="5"/>
  <c r="Z246" i="5"/>
  <c r="Z93" i="5"/>
  <c r="AH64" i="6"/>
  <c r="AE98" i="6"/>
  <c r="Y94" i="6"/>
  <c r="AR94" i="6" s="1"/>
  <c r="Y98" i="6"/>
  <c r="AR98" i="6" s="1"/>
  <c r="AA189" i="5"/>
  <c r="AA523" i="5"/>
  <c r="AA285" i="5"/>
  <c r="AA499" i="5"/>
  <c r="Z157" i="5"/>
  <c r="Z221" i="5"/>
  <c r="Z82" i="5"/>
  <c r="Z145" i="5"/>
  <c r="AA140" i="5"/>
  <c r="Z140" i="5"/>
  <c r="AA528" i="5"/>
  <c r="Z528" i="5"/>
  <c r="AA206" i="5"/>
  <c r="AA80" i="5"/>
  <c r="Z175" i="5"/>
  <c r="Z346" i="5"/>
  <c r="Z398" i="5"/>
  <c r="Z176" i="5"/>
  <c r="AA394" i="5"/>
  <c r="AA504" i="5"/>
  <c r="AA27" i="5"/>
  <c r="Z385" i="5"/>
  <c r="AA360" i="5"/>
  <c r="Z360" i="5"/>
  <c r="AA163" i="5"/>
  <c r="Z163" i="5"/>
  <c r="AM132" i="6"/>
  <c r="W132" i="6"/>
  <c r="AA475" i="5"/>
  <c r="Z465" i="5"/>
  <c r="Z138" i="5"/>
  <c r="Z190" i="5"/>
  <c r="AA347" i="5"/>
  <c r="AA349" i="5"/>
  <c r="Z239" i="5"/>
  <c r="AA264" i="5"/>
  <c r="AA373" i="5"/>
  <c r="AA130" i="5"/>
  <c r="Z130" i="5"/>
  <c r="AM47" i="6"/>
  <c r="W47" i="6"/>
  <c r="AM135" i="6"/>
  <c r="W135" i="6"/>
  <c r="AA101" i="5"/>
  <c r="Z101" i="5"/>
  <c r="AA381" i="5"/>
  <c r="Z381" i="5"/>
  <c r="AE123" i="6"/>
  <c r="AE144" i="6"/>
  <c r="AE11" i="6"/>
  <c r="AA115" i="5"/>
  <c r="AA62" i="5"/>
  <c r="Z204" i="5"/>
  <c r="Z338" i="5"/>
  <c r="AA124" i="5"/>
  <c r="Z124" i="5"/>
  <c r="AM7" i="6"/>
  <c r="W7" i="6"/>
  <c r="Y7" i="6" s="1"/>
  <c r="AR7" i="6" s="1"/>
  <c r="Z152" i="5"/>
  <c r="AA152" i="5"/>
  <c r="AM89" i="6"/>
  <c r="W89" i="6"/>
  <c r="AH40" i="6"/>
  <c r="Z544" i="5"/>
  <c r="AA245" i="5"/>
  <c r="AA447" i="5"/>
  <c r="Z159" i="5"/>
  <c r="AA255" i="5"/>
  <c r="AA391" i="5"/>
  <c r="Z514" i="5"/>
  <c r="AA312" i="5"/>
  <c r="Z312" i="5"/>
  <c r="Z488" i="5"/>
  <c r="AA488" i="5"/>
  <c r="AA222" i="5"/>
  <c r="Z222" i="5"/>
  <c r="AA558" i="5"/>
  <c r="AJ40" i="6"/>
  <c r="Z470" i="5"/>
  <c r="AA172" i="5"/>
  <c r="Z466" i="5"/>
  <c r="Z279" i="5"/>
  <c r="Z46" i="5"/>
  <c r="Z429" i="5"/>
  <c r="AA534" i="5"/>
  <c r="Z534" i="5"/>
  <c r="Z317" i="5"/>
  <c r="AA317" i="5"/>
  <c r="Z278" i="5"/>
  <c r="AA278" i="5"/>
  <c r="AA136" i="5"/>
  <c r="Z136" i="5"/>
  <c r="AM82" i="6"/>
  <c r="W82" i="6"/>
  <c r="Z424" i="5"/>
  <c r="AA424" i="5"/>
  <c r="Y123" i="6"/>
  <c r="AR123" i="6" s="1"/>
  <c r="AA400" i="5"/>
  <c r="Z376" i="5"/>
  <c r="AA60" i="5"/>
  <c r="Z58" i="5"/>
  <c r="Z168" i="5"/>
  <c r="Z419" i="5"/>
  <c r="Z467" i="5"/>
  <c r="Z340" i="5"/>
  <c r="AA388" i="5"/>
  <c r="Z388" i="5"/>
  <c r="AM141" i="6"/>
  <c r="W141" i="6"/>
  <c r="Y144" i="6"/>
  <c r="AR144" i="6" s="1"/>
  <c r="AA301" i="5"/>
  <c r="Z225" i="5"/>
  <c r="Z320" i="5"/>
  <c r="Z527" i="5"/>
  <c r="AA494" i="5"/>
  <c r="AA451" i="5"/>
  <c r="AA129" i="5"/>
  <c r="Z129" i="5"/>
  <c r="Z143" i="5"/>
  <c r="AA143" i="5"/>
  <c r="AA284" i="5"/>
  <c r="Z284" i="5"/>
  <c r="AA293" i="5"/>
  <c r="Z293" i="5"/>
  <c r="AM44" i="6"/>
  <c r="W44" i="6"/>
  <c r="Z390" i="5"/>
  <c r="Z406" i="5"/>
  <c r="Z208" i="5"/>
  <c r="Z120" i="5"/>
  <c r="Z23" i="5"/>
  <c r="Z64" i="5"/>
  <c r="Z533" i="5"/>
  <c r="AA109" i="5"/>
  <c r="Z109" i="5"/>
  <c r="Z41" i="5"/>
  <c r="AA41" i="5"/>
  <c r="AM48" i="6"/>
  <c r="W48" i="6"/>
  <c r="AM143" i="6"/>
  <c r="W143" i="6"/>
  <c r="AJ63" i="6"/>
  <c r="AE22" i="6"/>
  <c r="AE151" i="6"/>
  <c r="Y151" i="6"/>
  <c r="AR151" i="6" s="1"/>
  <c r="AA22" i="5"/>
  <c r="Z22" i="5"/>
  <c r="AE38" i="8"/>
  <c r="AF103" i="8"/>
  <c r="AG103" i="8" s="1"/>
  <c r="AF66" i="8"/>
  <c r="AG66" i="8" s="1"/>
  <c r="AH134" i="6"/>
  <c r="AH147" i="6"/>
  <c r="AH111" i="6"/>
  <c r="AH150" i="6"/>
  <c r="AH13" i="6"/>
  <c r="AH110" i="6"/>
  <c r="AH154" i="6"/>
  <c r="AH131" i="6"/>
  <c r="AH31" i="6"/>
  <c r="AH124" i="6"/>
  <c r="AH43" i="6"/>
  <c r="AH141" i="6"/>
  <c r="AH140" i="6"/>
  <c r="AH139" i="6"/>
  <c r="AH146" i="6"/>
  <c r="AH87" i="6"/>
  <c r="AH130" i="6"/>
  <c r="AH152" i="6"/>
  <c r="AH52" i="6"/>
  <c r="AH41" i="6"/>
  <c r="AH102" i="6"/>
  <c r="AH113" i="6"/>
  <c r="AH76" i="6"/>
  <c r="AH127" i="6"/>
  <c r="AH14" i="6"/>
  <c r="AH137" i="6"/>
  <c r="AH62" i="6"/>
  <c r="AH30" i="6"/>
  <c r="AH93" i="6"/>
  <c r="AH72" i="6"/>
  <c r="AH155" i="6"/>
  <c r="AH22" i="6"/>
  <c r="AH143" i="6"/>
  <c r="AH100" i="6"/>
  <c r="AH101" i="6"/>
  <c r="AF99" i="8"/>
  <c r="AG99" i="8" s="1"/>
  <c r="AF32" i="8"/>
  <c r="AG32" i="8" s="1"/>
  <c r="AF137" i="8"/>
  <c r="AG137" i="8" s="1"/>
  <c r="R511" i="5"/>
  <c r="Q246" i="5"/>
  <c r="Q446" i="5"/>
  <c r="Q429" i="5"/>
  <c r="Q233" i="5"/>
  <c r="Q224" i="5"/>
  <c r="R326" i="5"/>
  <c r="Q330" i="5"/>
  <c r="Q270" i="5"/>
  <c r="R220" i="5"/>
  <c r="AF27" i="8"/>
  <c r="AG27" i="8" s="1"/>
  <c r="Q517" i="5"/>
  <c r="R503" i="5"/>
  <c r="Q459" i="5"/>
  <c r="R495" i="5"/>
  <c r="Q81" i="5"/>
  <c r="AF69" i="8"/>
  <c r="AG69" i="8" s="1"/>
  <c r="R61" i="5"/>
  <c r="AH33" i="8"/>
  <c r="R500" i="5"/>
  <c r="R245" i="5"/>
  <c r="AF130" i="8"/>
  <c r="AG130" i="8" s="1"/>
  <c r="R103" i="5"/>
  <c r="R40" i="5"/>
  <c r="R151" i="5"/>
  <c r="AF9" i="8"/>
  <c r="AG9" i="8" s="1"/>
  <c r="AF59" i="8"/>
  <c r="AG59" i="8" s="1"/>
  <c r="AF84" i="8"/>
  <c r="AG84" i="8" s="1"/>
  <c r="Q461" i="5"/>
  <c r="R129" i="5"/>
  <c r="Q132" i="5"/>
  <c r="R216" i="5"/>
  <c r="Q465" i="5"/>
  <c r="AF15" i="8"/>
  <c r="AG15" i="8" s="1"/>
  <c r="Q290" i="5"/>
  <c r="R227" i="5"/>
  <c r="Q120" i="5"/>
  <c r="R512" i="5"/>
  <c r="Q206" i="5"/>
  <c r="Q71" i="5"/>
  <c r="R338" i="5"/>
  <c r="Q208" i="5"/>
  <c r="AF144" i="8"/>
  <c r="AG144" i="8" s="1"/>
  <c r="Q335" i="5"/>
  <c r="R376" i="5"/>
  <c r="Q319" i="5"/>
  <c r="AH120" i="8"/>
  <c r="AH46" i="8"/>
  <c r="AH146" i="8"/>
  <c r="AH82" i="8"/>
  <c r="AH61" i="8"/>
  <c r="AH39" i="8"/>
  <c r="AH86" i="8"/>
  <c r="AH81" i="8"/>
  <c r="AH44" i="8"/>
  <c r="AH88" i="8"/>
  <c r="AH76" i="8"/>
  <c r="AH117" i="8"/>
  <c r="Q112" i="5"/>
  <c r="R278" i="5"/>
  <c r="Q322" i="5"/>
  <c r="R311" i="5"/>
  <c r="AH105" i="8"/>
  <c r="AH31" i="8"/>
  <c r="AH107" i="8"/>
  <c r="Q482" i="5"/>
  <c r="R166" i="5"/>
  <c r="R498" i="5"/>
  <c r="AH41" i="8"/>
  <c r="AH52" i="8"/>
  <c r="AH53" i="8"/>
  <c r="AH18" i="8"/>
  <c r="AH32" i="8"/>
  <c r="Q60" i="5"/>
  <c r="Q445" i="5"/>
  <c r="Q439" i="5"/>
  <c r="Q144" i="5"/>
  <c r="AH118" i="8"/>
  <c r="AH126" i="8"/>
  <c r="AH11" i="8"/>
  <c r="AH99" i="8"/>
  <c r="AH122" i="8"/>
  <c r="AH15" i="8"/>
  <c r="AH128" i="8"/>
  <c r="AH92" i="8"/>
  <c r="AH155" i="8"/>
  <c r="AH149" i="8"/>
  <c r="AH28" i="8"/>
  <c r="AH127" i="8"/>
  <c r="AH23" i="8"/>
  <c r="Q393" i="5"/>
  <c r="Q223" i="5"/>
  <c r="Q45" i="5"/>
  <c r="Q292" i="5"/>
  <c r="Q529" i="5"/>
  <c r="AH140" i="8"/>
  <c r="AH112" i="8"/>
  <c r="AH121" i="8"/>
  <c r="AH47" i="8"/>
  <c r="AH115" i="8"/>
  <c r="AH22" i="8"/>
  <c r="R436" i="5"/>
  <c r="Q553" i="5"/>
  <c r="AH157" i="8"/>
  <c r="AH7" i="8"/>
  <c r="AH63" i="8"/>
  <c r="AH20" i="8"/>
  <c r="AF67" i="8"/>
  <c r="AG67" i="8" s="1"/>
  <c r="AH9" i="8"/>
  <c r="AH83" i="8"/>
  <c r="AH59" i="8"/>
  <c r="AH8" i="8"/>
  <c r="AH87" i="8"/>
  <c r="AF111" i="8"/>
  <c r="AG111" i="8" s="1"/>
  <c r="AF143" i="8"/>
  <c r="AG143" i="8" s="1"/>
  <c r="AF92" i="8"/>
  <c r="AG92" i="8" s="1"/>
  <c r="AF24" i="8"/>
  <c r="AG24" i="8" s="1"/>
  <c r="AF63" i="8"/>
  <c r="AG63" i="8" s="1"/>
  <c r="AF52" i="8"/>
  <c r="AG52" i="8" s="1"/>
  <c r="AF152" i="8"/>
  <c r="AG152" i="8" s="1"/>
  <c r="AF140" i="8"/>
  <c r="AG140" i="8" s="1"/>
  <c r="AF23" i="8"/>
  <c r="AG23" i="8" s="1"/>
  <c r="Z78" i="8"/>
  <c r="AN78" i="8" s="1"/>
  <c r="AA56" i="8"/>
  <c r="AQ56" i="8" s="1"/>
  <c r="AF19" i="8"/>
  <c r="AG19" i="8" s="1"/>
  <c r="AF10" i="8"/>
  <c r="AG10" i="8" s="1"/>
  <c r="AA34" i="8"/>
  <c r="AQ34" i="8" s="1"/>
  <c r="Z17" i="8"/>
  <c r="AN17" i="8" s="1"/>
  <c r="Z96" i="8"/>
  <c r="AN96" i="8" s="1"/>
  <c r="AF54" i="8"/>
  <c r="AG54" i="8" s="1"/>
  <c r="AF116" i="8"/>
  <c r="AG116" i="8" s="1"/>
  <c r="AF18" i="8"/>
  <c r="AG18" i="8" s="1"/>
  <c r="AF106" i="8"/>
  <c r="AG106" i="8" s="1"/>
  <c r="AF20" i="8"/>
  <c r="AG20" i="8" s="1"/>
  <c r="AA114" i="8"/>
  <c r="AQ114" i="8" s="1"/>
  <c r="Z102" i="8"/>
  <c r="AN102" i="8" s="1"/>
  <c r="Z91" i="8"/>
  <c r="AN91" i="8" s="1"/>
  <c r="Z16" i="8"/>
  <c r="AN16" i="8" s="1"/>
  <c r="Z135" i="8"/>
  <c r="AN135" i="8" s="1"/>
  <c r="AF100" i="8"/>
  <c r="AG100" i="8" s="1"/>
  <c r="AF131" i="8"/>
  <c r="AG131" i="8" s="1"/>
  <c r="AA156" i="8"/>
  <c r="AQ156" i="8" s="1"/>
  <c r="Z51" i="8"/>
  <c r="AN51" i="8" s="1"/>
  <c r="AA42" i="8"/>
  <c r="AQ42" i="8" s="1"/>
  <c r="AA128" i="8"/>
  <c r="AC128" i="8" s="1"/>
  <c r="AD128" i="8" s="1"/>
  <c r="Z41" i="8"/>
  <c r="AK41" i="8" s="1"/>
  <c r="AL41" i="8" s="1"/>
  <c r="AA134" i="8"/>
  <c r="AP134" i="8" s="1"/>
  <c r="Z87" i="8"/>
  <c r="AN87" i="8" s="1"/>
  <c r="AA41" i="8"/>
  <c r="AQ41" i="8" s="1"/>
  <c r="AF76" i="8"/>
  <c r="AG76" i="8" s="1"/>
  <c r="AF75" i="8"/>
  <c r="AG75" i="8" s="1"/>
  <c r="AA85" i="8"/>
  <c r="AQ85" i="8" s="1"/>
  <c r="AF117" i="8"/>
  <c r="AG117" i="8" s="1"/>
  <c r="AF127" i="8"/>
  <c r="AG127" i="8" s="1"/>
  <c r="Z85" i="8"/>
  <c r="AN85" i="8" s="1"/>
  <c r="AA124" i="8"/>
  <c r="AP124" i="8" s="1"/>
  <c r="AA88" i="8"/>
  <c r="AP88" i="8" s="1"/>
  <c r="AQ7" i="8"/>
  <c r="AP7" i="8"/>
  <c r="AC7" i="8"/>
  <c r="AD7" i="8" s="1"/>
  <c r="AJ90" i="8"/>
  <c r="AK90" i="8"/>
  <c r="AL90" i="8" s="1"/>
  <c r="AQ19" i="8"/>
  <c r="AQ106" i="8"/>
  <c r="AP106" i="8"/>
  <c r="AC106" i="8"/>
  <c r="AD106" i="8" s="1"/>
  <c r="AA16" i="8"/>
  <c r="Z36" i="8"/>
  <c r="AK36" i="8" s="1"/>
  <c r="AL36" i="8" s="1"/>
  <c r="AJ79" i="8"/>
  <c r="AJ94" i="8"/>
  <c r="AJ87" i="8"/>
  <c r="AJ131" i="8"/>
  <c r="AK131" i="8"/>
  <c r="AL131" i="8" s="1"/>
  <c r="AO131" i="8" s="1"/>
  <c r="AC23" i="8"/>
  <c r="AD23" i="8" s="1"/>
  <c r="AP23" i="8"/>
  <c r="AQ23" i="8"/>
  <c r="AF49" i="8"/>
  <c r="AG49" i="8" s="1"/>
  <c r="AJ105" i="8"/>
  <c r="AF58" i="8"/>
  <c r="AG58" i="8" s="1"/>
  <c r="AQ9" i="8"/>
  <c r="AP9" i="8"/>
  <c r="AC9" i="8"/>
  <c r="AD9" i="8" s="1"/>
  <c r="AQ46" i="8"/>
  <c r="AJ72" i="8"/>
  <c r="AJ148" i="8"/>
  <c r="AJ24" i="8"/>
  <c r="AK24" i="8"/>
  <c r="AL24" i="8" s="1"/>
  <c r="AO24" i="8" s="1"/>
  <c r="AJ156" i="8"/>
  <c r="AJ145" i="8"/>
  <c r="AP27" i="8"/>
  <c r="AC27" i="8"/>
  <c r="AD27" i="8" s="1"/>
  <c r="AQ27" i="8"/>
  <c r="AC130" i="8"/>
  <c r="AD130" i="8" s="1"/>
  <c r="AQ130" i="8"/>
  <c r="AP130" i="8"/>
  <c r="AQ103" i="8"/>
  <c r="AP103" i="8"/>
  <c r="AC103" i="8"/>
  <c r="AD103" i="8" s="1"/>
  <c r="AA47" i="8"/>
  <c r="AA43" i="8"/>
  <c r="AJ85" i="8"/>
  <c r="AA60" i="8"/>
  <c r="AC75" i="8"/>
  <c r="AD75" i="8" s="1"/>
  <c r="AQ75" i="8"/>
  <c r="AP75" i="8"/>
  <c r="AQ100" i="8"/>
  <c r="AP100" i="8"/>
  <c r="AC100" i="8"/>
  <c r="AD100" i="8" s="1"/>
  <c r="AH78" i="8"/>
  <c r="AK49" i="8"/>
  <c r="AL49" i="8" s="1"/>
  <c r="AJ49" i="8"/>
  <c r="AJ58" i="8"/>
  <c r="AK58" i="8"/>
  <c r="AL58" i="8" s="1"/>
  <c r="AO58" i="8" s="1"/>
  <c r="AJ110" i="8"/>
  <c r="AH49" i="8"/>
  <c r="AH85" i="8"/>
  <c r="AH96" i="8"/>
  <c r="AF138" i="8"/>
  <c r="AG138" i="8" s="1"/>
  <c r="AC58" i="8"/>
  <c r="AD58" i="8" s="1"/>
  <c r="AQ58" i="8"/>
  <c r="AP58" i="8"/>
  <c r="AQ147" i="8"/>
  <c r="AP147" i="8"/>
  <c r="AC147" i="8"/>
  <c r="AD147" i="8" s="1"/>
  <c r="AF112" i="8"/>
  <c r="AG112" i="8" s="1"/>
  <c r="AF46" i="8"/>
  <c r="AG46" i="8" s="1"/>
  <c r="AF155" i="8"/>
  <c r="AG155" i="8" s="1"/>
  <c r="AH114" i="8"/>
  <c r="AK67" i="8"/>
  <c r="AL67" i="8" s="1"/>
  <c r="AO67" i="8" s="1"/>
  <c r="AJ67" i="8"/>
  <c r="Z34" i="8"/>
  <c r="AK34" i="8" s="1"/>
  <c r="AL34" i="8" s="1"/>
  <c r="AH109" i="8"/>
  <c r="AJ153" i="8"/>
  <c r="AQ155" i="8"/>
  <c r="AP155" i="8"/>
  <c r="AC155" i="8"/>
  <c r="AD155" i="8" s="1"/>
  <c r="AH123" i="8"/>
  <c r="AA61" i="8"/>
  <c r="AA17" i="8"/>
  <c r="Z31" i="8"/>
  <c r="AK31" i="8" s="1"/>
  <c r="AL31" i="8" s="1"/>
  <c r="AK111" i="8"/>
  <c r="AL111" i="8" s="1"/>
  <c r="AO111" i="8" s="1"/>
  <c r="AJ111" i="8"/>
  <c r="AH19" i="8"/>
  <c r="AC50" i="8"/>
  <c r="AD50" i="8" s="1"/>
  <c r="AP50" i="8"/>
  <c r="AQ50" i="8"/>
  <c r="AH124" i="8"/>
  <c r="AA102" i="8"/>
  <c r="Z146" i="8"/>
  <c r="AH24" i="8"/>
  <c r="AH93" i="8"/>
  <c r="Z156" i="8"/>
  <c r="AA51" i="8"/>
  <c r="AA91" i="8"/>
  <c r="AA36" i="8"/>
  <c r="AA82" i="8"/>
  <c r="AJ113" i="8"/>
  <c r="AC101" i="8"/>
  <c r="AD101" i="8" s="1"/>
  <c r="AQ101" i="8"/>
  <c r="AP101" i="8"/>
  <c r="Z47" i="8"/>
  <c r="AK47" i="8" s="1"/>
  <c r="AL47" i="8" s="1"/>
  <c r="Z88" i="8"/>
  <c r="AK88" i="8" s="1"/>
  <c r="AL88" i="8" s="1"/>
  <c r="AH43" i="8"/>
  <c r="AJ75" i="8"/>
  <c r="AH111" i="8"/>
  <c r="AJ104" i="8"/>
  <c r="AJ42" i="8"/>
  <c r="AA87" i="8"/>
  <c r="AH142" i="8"/>
  <c r="AK100" i="8"/>
  <c r="AL100" i="8" s="1"/>
  <c r="AO100" i="8" s="1"/>
  <c r="AJ100" i="8"/>
  <c r="AJ38" i="8"/>
  <c r="AC122" i="8"/>
  <c r="AD122" i="8" s="1"/>
  <c r="AQ122" i="8"/>
  <c r="AP122" i="8"/>
  <c r="AJ157" i="8"/>
  <c r="AJ96" i="8"/>
  <c r="AH131" i="8"/>
  <c r="AH65" i="8"/>
  <c r="Z128" i="8"/>
  <c r="AK128" i="8" s="1"/>
  <c r="AL128" i="8" s="1"/>
  <c r="Z33" i="8"/>
  <c r="AK63" i="8"/>
  <c r="AL63" i="8" s="1"/>
  <c r="AO63" i="8" s="1"/>
  <c r="AJ63" i="8"/>
  <c r="AJ109" i="8"/>
  <c r="AK109" i="8"/>
  <c r="AL109" i="8" s="1"/>
  <c r="AO109" i="8" s="1"/>
  <c r="AF123" i="8"/>
  <c r="AG123" i="8" s="1"/>
  <c r="AP49" i="8"/>
  <c r="AA96" i="8"/>
  <c r="AF7" i="8"/>
  <c r="AG7" i="8" s="1"/>
  <c r="AJ13" i="8"/>
  <c r="Z74" i="8"/>
  <c r="AK74" i="8" s="1"/>
  <c r="AL74" i="8" s="1"/>
  <c r="AH54" i="8"/>
  <c r="AH98" i="8"/>
  <c r="AJ17" i="8"/>
  <c r="AK103" i="8"/>
  <c r="AL103" i="8" s="1"/>
  <c r="AO103" i="8" s="1"/>
  <c r="AJ103" i="8"/>
  <c r="AA13" i="8"/>
  <c r="AC109" i="8"/>
  <c r="AD109" i="8" s="1"/>
  <c r="AQ109" i="8"/>
  <c r="AP109" i="8"/>
  <c r="AJ30" i="8"/>
  <c r="AJ57" i="8"/>
  <c r="Z61" i="8"/>
  <c r="AA31" i="8"/>
  <c r="AJ151" i="8"/>
  <c r="AA30" i="8"/>
  <c r="Z72" i="8"/>
  <c r="AK72" i="8" s="1"/>
  <c r="AL72" i="8" s="1"/>
  <c r="Z57" i="8"/>
  <c r="AK57" i="8" s="1"/>
  <c r="AL57" i="8" s="1"/>
  <c r="AA148" i="8"/>
  <c r="AH150" i="8"/>
  <c r="Z45" i="8"/>
  <c r="AK45" i="8" s="1"/>
  <c r="AL45" i="8" s="1"/>
  <c r="AQ93" i="8"/>
  <c r="AH35" i="8"/>
  <c r="AA40" i="8"/>
  <c r="AH80" i="8"/>
  <c r="Z139" i="8"/>
  <c r="AK139" i="8" s="1"/>
  <c r="AL139" i="8" s="1"/>
  <c r="AH145" i="8"/>
  <c r="AH151" i="8"/>
  <c r="AF26" i="8"/>
  <c r="AG26" i="8" s="1"/>
  <c r="AH70" i="8"/>
  <c r="AJ141" i="8"/>
  <c r="AH101" i="8"/>
  <c r="Z53" i="8"/>
  <c r="AK53" i="8" s="1"/>
  <c r="AL53" i="8" s="1"/>
  <c r="AH104" i="8"/>
  <c r="AJ97" i="8"/>
  <c r="AP18" i="8"/>
  <c r="AC18" i="8"/>
  <c r="AD18" i="8" s="1"/>
  <c r="AQ18" i="8"/>
  <c r="AC113" i="8"/>
  <c r="AD113" i="8" s="1"/>
  <c r="AQ113" i="8"/>
  <c r="AP113" i="8"/>
  <c r="AK8" i="8"/>
  <c r="AL8" i="8" s="1"/>
  <c r="AO8" i="8" s="1"/>
  <c r="AJ8" i="8"/>
  <c r="Z56" i="8"/>
  <c r="AJ137" i="8"/>
  <c r="AK137" i="8"/>
  <c r="AL137" i="8" s="1"/>
  <c r="AO137" i="8" s="1"/>
  <c r="AJ64" i="8"/>
  <c r="AJ65" i="8"/>
  <c r="AH69" i="8"/>
  <c r="AJ41" i="8"/>
  <c r="AC95" i="8"/>
  <c r="AD95" i="8" s="1"/>
  <c r="AQ95" i="8"/>
  <c r="AP95" i="8"/>
  <c r="AH137" i="8"/>
  <c r="AH38" i="8"/>
  <c r="Z107" i="8"/>
  <c r="AK107" i="8" s="1"/>
  <c r="AL107" i="8" s="1"/>
  <c r="AJ124" i="8"/>
  <c r="AJ146" i="8"/>
  <c r="AC116" i="8"/>
  <c r="AD116" i="8" s="1"/>
  <c r="AP116" i="8"/>
  <c r="AQ116" i="8"/>
  <c r="AJ88" i="8"/>
  <c r="AC66" i="8"/>
  <c r="AD66" i="8" s="1"/>
  <c r="AQ66" i="8"/>
  <c r="AP66" i="8"/>
  <c r="AJ70" i="8"/>
  <c r="AQ8" i="8"/>
  <c r="AP8" i="8"/>
  <c r="AC8" i="8"/>
  <c r="AD8" i="8" s="1"/>
  <c r="AJ56" i="8"/>
  <c r="AJ107" i="8"/>
  <c r="Z43" i="8"/>
  <c r="AJ53" i="8"/>
  <c r="AQ111" i="8"/>
  <c r="AP111" i="8"/>
  <c r="AC111" i="8"/>
  <c r="AD111" i="8" s="1"/>
  <c r="AC117" i="8"/>
  <c r="AD117" i="8" s="1"/>
  <c r="AQ117" i="8"/>
  <c r="AP117" i="8"/>
  <c r="AJ83" i="8"/>
  <c r="AP44" i="8"/>
  <c r="AC44" i="8"/>
  <c r="AD44" i="8" s="1"/>
  <c r="AQ44" i="8"/>
  <c r="AJ39" i="8"/>
  <c r="Q537" i="5"/>
  <c r="Q423" i="5"/>
  <c r="R127" i="5"/>
  <c r="Q26" i="5"/>
  <c r="Q38" i="5"/>
  <c r="R122" i="5"/>
  <c r="Q339" i="5"/>
  <c r="R314" i="5"/>
  <c r="AA33" i="8"/>
  <c r="AP118" i="8"/>
  <c r="AC118" i="8"/>
  <c r="AD118" i="8" s="1"/>
  <c r="AQ118" i="8"/>
  <c r="AH138" i="8"/>
  <c r="AJ48" i="8"/>
  <c r="AF147" i="8"/>
  <c r="AG147" i="8" s="1"/>
  <c r="AF109" i="8"/>
  <c r="AG109" i="8" s="1"/>
  <c r="AJ10" i="8"/>
  <c r="AK10" i="8"/>
  <c r="AL10" i="8" s="1"/>
  <c r="AJ7" i="8"/>
  <c r="AK7" i="8"/>
  <c r="AL7" i="8" s="1"/>
  <c r="AO7" i="8" s="1"/>
  <c r="AH48" i="8"/>
  <c r="AH58" i="8"/>
  <c r="AH147" i="8"/>
  <c r="AA74" i="8"/>
  <c r="AH153" i="8"/>
  <c r="AA98" i="8"/>
  <c r="AJ136" i="8"/>
  <c r="AK25" i="8"/>
  <c r="AL25" i="8" s="1"/>
  <c r="AJ25" i="8"/>
  <c r="Z13" i="8"/>
  <c r="AH55" i="8"/>
  <c r="AJ74" i="8"/>
  <c r="AK54" i="8"/>
  <c r="AL54" i="8" s="1"/>
  <c r="AJ54" i="8"/>
  <c r="AK27" i="8"/>
  <c r="AL27" i="8" s="1"/>
  <c r="AO27" i="8" s="1"/>
  <c r="AJ27" i="8"/>
  <c r="AJ11" i="8"/>
  <c r="AH73" i="8"/>
  <c r="AH116" i="8"/>
  <c r="AJ115" i="8"/>
  <c r="Z30" i="8"/>
  <c r="AA72" i="8"/>
  <c r="AA57" i="8"/>
  <c r="Z148" i="8"/>
  <c r="AH45" i="8"/>
  <c r="AJ61" i="8"/>
  <c r="AH156" i="8"/>
  <c r="Z35" i="8"/>
  <c r="Z40" i="8"/>
  <c r="AK40" i="8" s="1"/>
  <c r="AL40" i="8" s="1"/>
  <c r="Z80" i="8"/>
  <c r="AK80" i="8" s="1"/>
  <c r="AL80" i="8" s="1"/>
  <c r="AA139" i="8"/>
  <c r="AA145" i="8"/>
  <c r="AA151" i="8"/>
  <c r="AK26" i="8"/>
  <c r="AL26" i="8" s="1"/>
  <c r="AO26" i="8" s="1"/>
  <c r="AJ26" i="8"/>
  <c r="Z82" i="8"/>
  <c r="Z70" i="8"/>
  <c r="AK70" i="8" s="1"/>
  <c r="AL70" i="8" s="1"/>
  <c r="AJ122" i="8"/>
  <c r="AK122" i="8"/>
  <c r="AL122" i="8" s="1"/>
  <c r="AO122" i="8" s="1"/>
  <c r="AJ36" i="8"/>
  <c r="AQ52" i="8"/>
  <c r="AH79" i="8"/>
  <c r="AH84" i="8"/>
  <c r="AH154" i="8"/>
  <c r="Z133" i="8"/>
  <c r="AA53" i="8"/>
  <c r="AA119" i="8"/>
  <c r="AJ132" i="8"/>
  <c r="AJ32" i="8"/>
  <c r="AK32" i="8"/>
  <c r="AL32" i="8" s="1"/>
  <c r="AO32" i="8" s="1"/>
  <c r="Z83" i="8"/>
  <c r="AK83" i="8" s="1"/>
  <c r="AL83" i="8" s="1"/>
  <c r="AJ118" i="8"/>
  <c r="AK118" i="8"/>
  <c r="AL118" i="8" s="1"/>
  <c r="AO118" i="8" s="1"/>
  <c r="Z71" i="8"/>
  <c r="AK71" i="8" s="1"/>
  <c r="AL71" i="8" s="1"/>
  <c r="AA94" i="8"/>
  <c r="AH113" i="8"/>
  <c r="Z29" i="8"/>
  <c r="AH97" i="8"/>
  <c r="AH132" i="8"/>
  <c r="AK15" i="8"/>
  <c r="AL15" i="8" s="1"/>
  <c r="AO15" i="8" s="1"/>
  <c r="AJ15" i="8"/>
  <c r="AH37" i="8"/>
  <c r="AJ43" i="8"/>
  <c r="AA125" i="8"/>
  <c r="AC15" i="8"/>
  <c r="AD15" i="8" s="1"/>
  <c r="AP15" i="8"/>
  <c r="AQ15" i="8"/>
  <c r="AH95" i="8"/>
  <c r="AQ137" i="8"/>
  <c r="AC137" i="8"/>
  <c r="AD137" i="8" s="1"/>
  <c r="AP137" i="8"/>
  <c r="AA64" i="8"/>
  <c r="AA107" i="8"/>
  <c r="AC141" i="8"/>
  <c r="AD141" i="8" s="1"/>
  <c r="AQ141" i="8"/>
  <c r="AP141" i="8"/>
  <c r="AJ138" i="8"/>
  <c r="AK138" i="8"/>
  <c r="AL138" i="8" s="1"/>
  <c r="AO138" i="8" s="1"/>
  <c r="AJ112" i="8"/>
  <c r="AK112" i="8"/>
  <c r="AL112" i="8" s="1"/>
  <c r="AO112" i="8" s="1"/>
  <c r="AJ155" i="8"/>
  <c r="AK155" i="8"/>
  <c r="AL155" i="8" s="1"/>
  <c r="AO155" i="8" s="1"/>
  <c r="AJ16" i="8"/>
  <c r="AJ147" i="8"/>
  <c r="AK147" i="8"/>
  <c r="AL147" i="8" s="1"/>
  <c r="AO147" i="8" s="1"/>
  <c r="AK93" i="8"/>
  <c r="AL93" i="8" s="1"/>
  <c r="AO93" i="8" s="1"/>
  <c r="AJ93" i="8"/>
  <c r="AA11" i="8"/>
  <c r="AC105" i="8"/>
  <c r="AD105" i="8" s="1"/>
  <c r="AP105" i="8"/>
  <c r="AQ105" i="8"/>
  <c r="AP54" i="8"/>
  <c r="AQ54" i="8"/>
  <c r="AC54" i="8"/>
  <c r="AD54" i="8" s="1"/>
  <c r="Z98" i="8"/>
  <c r="AK98" i="8" s="1"/>
  <c r="AL98" i="8" s="1"/>
  <c r="AJ116" i="8"/>
  <c r="AK116" i="8"/>
  <c r="AL116" i="8" s="1"/>
  <c r="AO116" i="8" s="1"/>
  <c r="AQ55" i="8"/>
  <c r="AP55" i="8"/>
  <c r="AC55" i="8"/>
  <c r="AD55" i="8" s="1"/>
  <c r="AH129" i="8"/>
  <c r="AH14" i="8"/>
  <c r="Z81" i="8"/>
  <c r="AJ98" i="8"/>
  <c r="AH136" i="8"/>
  <c r="AF50" i="8"/>
  <c r="AG50" i="8" s="1"/>
  <c r="AJ106" i="8"/>
  <c r="AK106" i="8"/>
  <c r="AL106" i="8" s="1"/>
  <c r="AO106" i="8" s="1"/>
  <c r="AH25" i="8"/>
  <c r="AH68" i="8"/>
  <c r="AH110" i="8"/>
  <c r="AJ51" i="8"/>
  <c r="AJ139" i="8"/>
  <c r="AH57" i="8"/>
  <c r="AA45" i="8"/>
  <c r="AH67" i="8"/>
  <c r="AH106" i="8"/>
  <c r="AH143" i="8"/>
  <c r="AA35" i="8"/>
  <c r="AA80" i="8"/>
  <c r="Z145" i="8"/>
  <c r="AK145" i="8" s="1"/>
  <c r="AL145" i="8" s="1"/>
  <c r="Z151" i="8"/>
  <c r="AA70" i="8"/>
  <c r="AF122" i="8"/>
  <c r="AG122" i="8" s="1"/>
  <c r="AH66" i="8"/>
  <c r="AJ121" i="8"/>
  <c r="Z79" i="8"/>
  <c r="AQ84" i="8"/>
  <c r="AA154" i="8"/>
  <c r="AH133" i="8"/>
  <c r="AJ29" i="8"/>
  <c r="Z119" i="8"/>
  <c r="AK119" i="8" s="1"/>
  <c r="AL119" i="8" s="1"/>
  <c r="AJ128" i="8"/>
  <c r="AA83" i="8"/>
  <c r="AF118" i="8"/>
  <c r="AG118" i="8" s="1"/>
  <c r="AH71" i="8"/>
  <c r="AH94" i="8"/>
  <c r="AH29" i="8"/>
  <c r="AH56" i="8"/>
  <c r="Z97" i="8"/>
  <c r="AK97" i="8" s="1"/>
  <c r="AL97" i="8" s="1"/>
  <c r="Z132" i="8"/>
  <c r="AK132" i="8" s="1"/>
  <c r="AL132" i="8" s="1"/>
  <c r="AJ127" i="8"/>
  <c r="AK127" i="8"/>
  <c r="AL127" i="8" s="1"/>
  <c r="AO127" i="8" s="1"/>
  <c r="Z37" i="8"/>
  <c r="AJ23" i="8"/>
  <c r="AK23" i="8"/>
  <c r="AL23" i="8" s="1"/>
  <c r="AO23" i="8" s="1"/>
  <c r="AH108" i="8"/>
  <c r="AH125" i="8"/>
  <c r="AQ144" i="8"/>
  <c r="AP144" i="8"/>
  <c r="AH12" i="8"/>
  <c r="AJ78" i="8"/>
  <c r="AH89" i="8"/>
  <c r="Z64" i="8"/>
  <c r="AJ60" i="8"/>
  <c r="AH141" i="8"/>
  <c r="AP138" i="8"/>
  <c r="AQ138" i="8"/>
  <c r="AC138" i="8"/>
  <c r="AD138" i="8" s="1"/>
  <c r="AJ20" i="8"/>
  <c r="AK20" i="8"/>
  <c r="AL20" i="8" s="1"/>
  <c r="AK99" i="8"/>
  <c r="AL99" i="8" s="1"/>
  <c r="AO99" i="8" s="1"/>
  <c r="AJ99" i="8"/>
  <c r="AJ123" i="8"/>
  <c r="AK123" i="8"/>
  <c r="AL123" i="8" s="1"/>
  <c r="AO123" i="8" s="1"/>
  <c r="AJ80" i="8"/>
  <c r="Q450" i="5"/>
  <c r="R494" i="5"/>
  <c r="Q433" i="5"/>
  <c r="R226" i="5"/>
  <c r="Q101" i="5"/>
  <c r="Q154" i="5"/>
  <c r="R391" i="5"/>
  <c r="Q464" i="5"/>
  <c r="R274" i="5"/>
  <c r="Q455" i="5"/>
  <c r="Q337" i="5"/>
  <c r="Q161" i="5"/>
  <c r="R104" i="5"/>
  <c r="Q102" i="5"/>
  <c r="R163" i="5"/>
  <c r="Q74" i="5"/>
  <c r="R490" i="5"/>
  <c r="AP78" i="8"/>
  <c r="AF93" i="8"/>
  <c r="AG93" i="8" s="1"/>
  <c r="AQ140" i="8"/>
  <c r="AP140" i="8"/>
  <c r="AC140" i="8"/>
  <c r="AD140" i="8" s="1"/>
  <c r="AJ34" i="8"/>
  <c r="AH74" i="8"/>
  <c r="Z134" i="8"/>
  <c r="AK130" i="8"/>
  <c r="AL130" i="8" s="1"/>
  <c r="AO130" i="8" s="1"/>
  <c r="AJ130" i="8"/>
  <c r="AJ152" i="8"/>
  <c r="AK152" i="8"/>
  <c r="AL152" i="8" s="1"/>
  <c r="AO152" i="8" s="1"/>
  <c r="AH13" i="8"/>
  <c r="AC90" i="8"/>
  <c r="AD90" i="8" s="1"/>
  <c r="AP90" i="8"/>
  <c r="AQ90" i="8"/>
  <c r="AA129" i="8"/>
  <c r="AA81" i="8"/>
  <c r="AA136" i="8"/>
  <c r="AK50" i="8"/>
  <c r="AL50" i="8" s="1"/>
  <c r="AO50" i="8" s="1"/>
  <c r="AJ50" i="8"/>
  <c r="AJ45" i="8"/>
  <c r="AJ47" i="8"/>
  <c r="AH30" i="8"/>
  <c r="AH72" i="8"/>
  <c r="AH148" i="8"/>
  <c r="AC150" i="8"/>
  <c r="AD150" i="8" s="1"/>
  <c r="AQ150" i="8"/>
  <c r="AP150" i="8"/>
  <c r="AH40" i="8"/>
  <c r="AH139" i="8"/>
  <c r="AK52" i="8"/>
  <c r="AL52" i="8" s="1"/>
  <c r="AO52" i="8" s="1"/>
  <c r="AJ52" i="8"/>
  <c r="AK18" i="8"/>
  <c r="AL18" i="8" s="1"/>
  <c r="AJ18" i="8"/>
  <c r="AH26" i="8"/>
  <c r="AJ82" i="8"/>
  <c r="AH152" i="8"/>
  <c r="AA79" i="8"/>
  <c r="Z154" i="8"/>
  <c r="AA133" i="8"/>
  <c r="AJ71" i="8"/>
  <c r="AJ135" i="8"/>
  <c r="AH42" i="8"/>
  <c r="AA71" i="8"/>
  <c r="Z94" i="8"/>
  <c r="AK94" i="8" s="1"/>
  <c r="AL94" i="8" s="1"/>
  <c r="AH135" i="8"/>
  <c r="AA29" i="8"/>
  <c r="AA97" i="8"/>
  <c r="AA132" i="8"/>
  <c r="AF89" i="8"/>
  <c r="AG89" i="8" s="1"/>
  <c r="AF95" i="8"/>
  <c r="AG95" i="8" s="1"/>
  <c r="AA37" i="8"/>
  <c r="Z60" i="8"/>
  <c r="AK60" i="8" s="1"/>
  <c r="AL60" i="8" s="1"/>
  <c r="AH75" i="8"/>
  <c r="Z125" i="8"/>
  <c r="AH144" i="8"/>
  <c r="AQ12" i="8"/>
  <c r="AH10" i="8"/>
  <c r="AH62" i="8"/>
  <c r="AH100" i="8"/>
  <c r="AQ131" i="8"/>
  <c r="Z65" i="8"/>
  <c r="AK65" i="8" s="1"/>
  <c r="AL65" i="8" s="1"/>
  <c r="AJ129" i="8"/>
  <c r="AJ44" i="8"/>
  <c r="AK44" i="8"/>
  <c r="AL44" i="8" s="1"/>
  <c r="AO44" i="8" s="1"/>
  <c r="AJ21" i="8"/>
  <c r="AJ92" i="8"/>
  <c r="AK92" i="8"/>
  <c r="AL92" i="8" s="1"/>
  <c r="AO92" i="8" s="1"/>
  <c r="Z11" i="8"/>
  <c r="AK11" i="8" s="1"/>
  <c r="AL11" i="8" s="1"/>
  <c r="AJ77" i="8"/>
  <c r="AH21" i="8"/>
  <c r="AQ63" i="8"/>
  <c r="AP63" i="8"/>
  <c r="AC63" i="8"/>
  <c r="AD63" i="8" s="1"/>
  <c r="AP20" i="8"/>
  <c r="AQ20" i="8"/>
  <c r="AC20" i="8"/>
  <c r="AD20" i="8" s="1"/>
  <c r="AQ92" i="8"/>
  <c r="AC99" i="8"/>
  <c r="AD99" i="8" s="1"/>
  <c r="AQ99" i="8"/>
  <c r="AP99" i="8"/>
  <c r="AJ55" i="8"/>
  <c r="AK55" i="8"/>
  <c r="AL55" i="8" s="1"/>
  <c r="AO55" i="8" s="1"/>
  <c r="AF90" i="8"/>
  <c r="AG90" i="8" s="1"/>
  <c r="AJ81" i="8"/>
  <c r="Z114" i="8"/>
  <c r="AK114" i="8" s="1"/>
  <c r="AL114" i="8" s="1"/>
  <c r="AJ31" i="8"/>
  <c r="AH134" i="8"/>
  <c r="AH34" i="8"/>
  <c r="AP112" i="8"/>
  <c r="AC112" i="8"/>
  <c r="AD112" i="8" s="1"/>
  <c r="AQ112" i="8"/>
  <c r="AH90" i="8"/>
  <c r="Z129" i="8"/>
  <c r="AK129" i="8" s="1"/>
  <c r="AL129" i="8" s="1"/>
  <c r="AJ114" i="8"/>
  <c r="Z136" i="8"/>
  <c r="AK136" i="8" s="1"/>
  <c r="AL136" i="8" s="1"/>
  <c r="AH17" i="8"/>
  <c r="AC68" i="8"/>
  <c r="AD68" i="8" s="1"/>
  <c r="AJ40" i="8"/>
  <c r="AH50" i="8"/>
  <c r="Z124" i="8"/>
  <c r="AH102" i="8"/>
  <c r="AA146" i="8"/>
  <c r="AH27" i="8"/>
  <c r="AH51" i="8"/>
  <c r="AH77" i="8"/>
  <c r="AH91" i="8"/>
  <c r="AH130" i="8"/>
  <c r="AH16" i="8"/>
  <c r="AH36" i="8"/>
  <c r="AJ66" i="8"/>
  <c r="AK66" i="8"/>
  <c r="AL66" i="8" s="1"/>
  <c r="AO66" i="8" s="1"/>
  <c r="AJ117" i="8"/>
  <c r="AK117" i="8"/>
  <c r="AL117" i="8" s="1"/>
  <c r="AO117" i="8" s="1"/>
  <c r="AK76" i="8"/>
  <c r="AL76" i="8" s="1"/>
  <c r="AO76" i="8" s="1"/>
  <c r="AJ76" i="8"/>
  <c r="AC26" i="8"/>
  <c r="AD26" i="8" s="1"/>
  <c r="AQ26" i="8"/>
  <c r="AP26" i="8"/>
  <c r="AH103" i="8"/>
  <c r="Z42" i="8"/>
  <c r="AK42" i="8" s="1"/>
  <c r="AL42" i="8" s="1"/>
  <c r="AH119" i="8"/>
  <c r="AJ62" i="8"/>
  <c r="AJ125" i="8"/>
  <c r="AA135" i="8"/>
  <c r="AJ119" i="8"/>
  <c r="AJ95" i="8"/>
  <c r="AK95" i="8"/>
  <c r="AL95" i="8" s="1"/>
  <c r="AO95" i="8" s="1"/>
  <c r="AH60" i="8"/>
  <c r="AC32" i="8"/>
  <c r="AD32" i="8" s="1"/>
  <c r="AQ32" i="8"/>
  <c r="AP32" i="8"/>
  <c r="AJ126" i="8"/>
  <c r="AQ127" i="8"/>
  <c r="AP127" i="8"/>
  <c r="AC127" i="8"/>
  <c r="AD127" i="8" s="1"/>
  <c r="AA65" i="8"/>
  <c r="AJ108" i="8"/>
  <c r="B39" i="5"/>
  <c r="AA76" i="6"/>
  <c r="AC76" i="6" s="1"/>
  <c r="AD76" i="6" s="1"/>
  <c r="AC32" i="6"/>
  <c r="AD32" i="6" s="1"/>
  <c r="AA101" i="6"/>
  <c r="AC101" i="6" s="1"/>
  <c r="AD101" i="6" s="1"/>
  <c r="Z125" i="6"/>
  <c r="AN125" i="6" s="1"/>
  <c r="AA59" i="6"/>
  <c r="AQ59" i="6" s="1"/>
  <c r="AF300" i="5"/>
  <c r="AH300" i="5" s="1"/>
  <c r="AP32" i="6"/>
  <c r="AA125" i="6"/>
  <c r="AQ125" i="6" s="1"/>
  <c r="Z59" i="6"/>
  <c r="AN59" i="6" s="1"/>
  <c r="Z103" i="6"/>
  <c r="AN103" i="6" s="1"/>
  <c r="AA72" i="6"/>
  <c r="AP72" i="6" s="1"/>
  <c r="AA103" i="6"/>
  <c r="AQ103" i="6" s="1"/>
  <c r="Z72" i="6"/>
  <c r="AK72" i="6" s="1"/>
  <c r="AL72" i="6" s="1"/>
  <c r="AQ27" i="6"/>
  <c r="Z80" i="6"/>
  <c r="AK80" i="6" s="1"/>
  <c r="AL80" i="6" s="1"/>
  <c r="AA120" i="6"/>
  <c r="AQ120" i="6" s="1"/>
  <c r="Z126" i="6"/>
  <c r="AN126" i="6" s="1"/>
  <c r="AA80" i="6"/>
  <c r="AQ80" i="6" s="1"/>
  <c r="Z120" i="6"/>
  <c r="AF120" i="6" s="1"/>
  <c r="AG120" i="6" s="1"/>
  <c r="AA126" i="6"/>
  <c r="AP126" i="6" s="1"/>
  <c r="Z101" i="6"/>
  <c r="AF101" i="6" s="1"/>
  <c r="AG101" i="6" s="1"/>
  <c r="Z76" i="6"/>
  <c r="AF76" i="6" s="1"/>
  <c r="AG76" i="6" s="1"/>
  <c r="AF28" i="5"/>
  <c r="AG28" i="5" s="1"/>
  <c r="AF11" i="5"/>
  <c r="AG11" i="5" s="1"/>
  <c r="AF399" i="5"/>
  <c r="AG399" i="5" s="1"/>
  <c r="AF163" i="5"/>
  <c r="AG163" i="5" s="1"/>
  <c r="Z65" i="6"/>
  <c r="AN65" i="6" s="1"/>
  <c r="Z110" i="6"/>
  <c r="AN110" i="6" s="1"/>
  <c r="AF370" i="5"/>
  <c r="AH370" i="5" s="1"/>
  <c r="AF106" i="5"/>
  <c r="AH106" i="5" s="1"/>
  <c r="AF426" i="5"/>
  <c r="AH426" i="5" s="1"/>
  <c r="AF246" i="5"/>
  <c r="AG246" i="5" s="1"/>
  <c r="AF335" i="5"/>
  <c r="AH335" i="5" s="1"/>
  <c r="AF288" i="5"/>
  <c r="AG288" i="5" s="1"/>
  <c r="AF527" i="5"/>
  <c r="AG527" i="5" s="1"/>
  <c r="AF29" i="5"/>
  <c r="AH29" i="5" s="1"/>
  <c r="Z39" i="6"/>
  <c r="AK39" i="6" s="1"/>
  <c r="AL39" i="6" s="1"/>
  <c r="AA84" i="6"/>
  <c r="AQ84" i="6" s="1"/>
  <c r="AA65" i="6"/>
  <c r="AQ65" i="6" s="1"/>
  <c r="Z148" i="6"/>
  <c r="AF148" i="6" s="1"/>
  <c r="AG148" i="6" s="1"/>
  <c r="AA39" i="6"/>
  <c r="AC39" i="6" s="1"/>
  <c r="AD39" i="6" s="1"/>
  <c r="Z42" i="6"/>
  <c r="AN42" i="6" s="1"/>
  <c r="AA138" i="6"/>
  <c r="AQ138" i="6" s="1"/>
  <c r="AA42" i="6"/>
  <c r="AC42" i="6" s="1"/>
  <c r="AD42" i="6" s="1"/>
  <c r="Z91" i="6"/>
  <c r="AN91" i="6" s="1"/>
  <c r="Z93" i="6"/>
  <c r="AK93" i="6" s="1"/>
  <c r="AL93" i="6" s="1"/>
  <c r="AA93" i="6"/>
  <c r="AP93" i="6" s="1"/>
  <c r="Z74" i="6"/>
  <c r="AK74" i="6" s="1"/>
  <c r="AL74" i="6" s="1"/>
  <c r="AA109" i="6"/>
  <c r="AC109" i="6" s="1"/>
  <c r="AD109" i="6" s="1"/>
  <c r="AP27" i="6"/>
  <c r="AA91" i="6"/>
  <c r="AQ91" i="6" s="1"/>
  <c r="Z133" i="6"/>
  <c r="AN133" i="6" s="1"/>
  <c r="Z138" i="6"/>
  <c r="AF138" i="6" s="1"/>
  <c r="AG138" i="6" s="1"/>
  <c r="Z109" i="6"/>
  <c r="AF109" i="6" s="1"/>
  <c r="AG109" i="6" s="1"/>
  <c r="AA68" i="6"/>
  <c r="AC68" i="6" s="1"/>
  <c r="AD68" i="6" s="1"/>
  <c r="Z63" i="6"/>
  <c r="AF63" i="6" s="1"/>
  <c r="AG63" i="6" s="1"/>
  <c r="AA148" i="6"/>
  <c r="AC148" i="6" s="1"/>
  <c r="AD148" i="6" s="1"/>
  <c r="Z68" i="6"/>
  <c r="AF68" i="6" s="1"/>
  <c r="AG68" i="6" s="1"/>
  <c r="AA63" i="6"/>
  <c r="AQ63" i="6" s="1"/>
  <c r="AF466" i="5"/>
  <c r="AH466" i="5" s="1"/>
  <c r="AF440" i="5"/>
  <c r="AH440" i="5" s="1"/>
  <c r="AF516" i="5"/>
  <c r="AG516" i="5" s="1"/>
  <c r="AF488" i="5"/>
  <c r="AG488" i="5" s="1"/>
  <c r="AF201" i="5"/>
  <c r="AH201" i="5" s="1"/>
  <c r="AF245" i="5"/>
  <c r="AG245" i="5" s="1"/>
  <c r="AF27" i="5"/>
  <c r="AH27" i="5" s="1"/>
  <c r="AF100" i="5"/>
  <c r="AG100" i="5" s="1"/>
  <c r="AF204" i="5"/>
  <c r="AH204" i="5" s="1"/>
  <c r="AF130" i="5"/>
  <c r="AH130" i="5" s="1"/>
  <c r="AF31" i="5"/>
  <c r="AH31" i="5" s="1"/>
  <c r="AF380" i="5"/>
  <c r="AH380" i="5" s="1"/>
  <c r="AA133" i="6"/>
  <c r="AP133" i="6" s="1"/>
  <c r="AF12" i="5"/>
  <c r="AH12" i="5" s="1"/>
  <c r="AF558" i="5"/>
  <c r="AH558" i="5" s="1"/>
  <c r="AF178" i="5"/>
  <c r="AH178" i="5" s="1"/>
  <c r="AF40" i="5"/>
  <c r="AH40" i="5" s="1"/>
  <c r="AF476" i="5"/>
  <c r="AH476" i="5" s="1"/>
  <c r="AF196" i="5"/>
  <c r="AH196" i="5" s="1"/>
  <c r="AF7" i="5"/>
  <c r="AG7" i="5" s="1"/>
  <c r="AF397" i="5"/>
  <c r="AG397" i="5" s="1"/>
  <c r="AF493" i="5"/>
  <c r="AH493" i="5" s="1"/>
  <c r="AF389" i="5"/>
  <c r="AG389" i="5" s="1"/>
  <c r="AF396" i="5"/>
  <c r="AH396" i="5" s="1"/>
  <c r="AF301" i="5"/>
  <c r="AH301" i="5" s="1"/>
  <c r="AF347" i="5"/>
  <c r="AG347" i="5" s="1"/>
  <c r="AF117" i="5"/>
  <c r="AH117" i="5" s="1"/>
  <c r="AF150" i="5"/>
  <c r="AH150" i="5" s="1"/>
  <c r="AF30" i="5"/>
  <c r="AH30" i="5" s="1"/>
  <c r="AF515" i="5"/>
  <c r="AG515" i="5" s="1"/>
  <c r="AF95" i="5"/>
  <c r="AG95" i="5" s="1"/>
  <c r="Z142" i="6"/>
  <c r="AF142" i="6" s="1"/>
  <c r="AG142" i="6" s="1"/>
  <c r="AF439" i="5"/>
  <c r="AG439" i="5" s="1"/>
  <c r="AF471" i="5"/>
  <c r="AG471" i="5" s="1"/>
  <c r="AF141" i="5"/>
  <c r="AH141" i="5" s="1"/>
  <c r="B69" i="5"/>
  <c r="AF548" i="5"/>
  <c r="AG548" i="5" s="1"/>
  <c r="AF496" i="5"/>
  <c r="AH496" i="5" s="1"/>
  <c r="AF391" i="5"/>
  <c r="AG391" i="5" s="1"/>
  <c r="AF354" i="5"/>
  <c r="AH354" i="5" s="1"/>
  <c r="AF249" i="5"/>
  <c r="AG249" i="5" s="1"/>
  <c r="AF352" i="5"/>
  <c r="AG352" i="5" s="1"/>
  <c r="AF107" i="5"/>
  <c r="AG107" i="5" s="1"/>
  <c r="AF203" i="5"/>
  <c r="AG203" i="5" s="1"/>
  <c r="AF91" i="5"/>
  <c r="AG91" i="5" s="1"/>
  <c r="AF225" i="5"/>
  <c r="AG225" i="5" s="1"/>
  <c r="AF39" i="5"/>
  <c r="AG39" i="5" s="1"/>
  <c r="AF534" i="5"/>
  <c r="AG534" i="5" s="1"/>
  <c r="AF514" i="5"/>
  <c r="AH514" i="5" s="1"/>
  <c r="AF528" i="5"/>
  <c r="AG528" i="5" s="1"/>
  <c r="AF535" i="5"/>
  <c r="AG535" i="5" s="1"/>
  <c r="AF62" i="5"/>
  <c r="AH62" i="5" s="1"/>
  <c r="AF244" i="5"/>
  <c r="AG244" i="5" s="1"/>
  <c r="AF240" i="5"/>
  <c r="AG240" i="5" s="1"/>
  <c r="AF43" i="5"/>
  <c r="AH43" i="5" s="1"/>
  <c r="AF156" i="5"/>
  <c r="AG156" i="5" s="1"/>
  <c r="AF207" i="5"/>
  <c r="AH207" i="5" s="1"/>
  <c r="AF41" i="5"/>
  <c r="AG41" i="5" s="1"/>
  <c r="AF115" i="5"/>
  <c r="AH115" i="5" s="1"/>
  <c r="AA53" i="6"/>
  <c r="AC53" i="6" s="1"/>
  <c r="AD53" i="6" s="1"/>
  <c r="AF470" i="5"/>
  <c r="AH470" i="5" s="1"/>
  <c r="AF105" i="5"/>
  <c r="AG105" i="5" s="1"/>
  <c r="AF538" i="5"/>
  <c r="AG538" i="5" s="1"/>
  <c r="AF511" i="5"/>
  <c r="AG511" i="5" s="1"/>
  <c r="AF510" i="5"/>
  <c r="AG510" i="5" s="1"/>
  <c r="AF512" i="5"/>
  <c r="AH512" i="5" s="1"/>
  <c r="AF416" i="5"/>
  <c r="AG416" i="5" s="1"/>
  <c r="AF217" i="5"/>
  <c r="AG217" i="5" s="1"/>
  <c r="AF215" i="5"/>
  <c r="AG215" i="5" s="1"/>
  <c r="AF77" i="5"/>
  <c r="AH77" i="5" s="1"/>
  <c r="AF134" i="5"/>
  <c r="AH134" i="5" s="1"/>
  <c r="AF187" i="5"/>
  <c r="AH187" i="5" s="1"/>
  <c r="AF47" i="5"/>
  <c r="AH47" i="5" s="1"/>
  <c r="AF230" i="5"/>
  <c r="AH230" i="5" s="1"/>
  <c r="Z155" i="6"/>
  <c r="AN155" i="6" s="1"/>
  <c r="Z53" i="6"/>
  <c r="AK53" i="6" s="1"/>
  <c r="AL53" i="6" s="1"/>
  <c r="AF79" i="5"/>
  <c r="AG79" i="5" s="1"/>
  <c r="AF424" i="5"/>
  <c r="AG424" i="5" s="1"/>
  <c r="AF405" i="5"/>
  <c r="AH405" i="5" s="1"/>
  <c r="AF377" i="5"/>
  <c r="AH377" i="5" s="1"/>
  <c r="AF436" i="5"/>
  <c r="AH436" i="5" s="1"/>
  <c r="AF323" i="5"/>
  <c r="AH323" i="5" s="1"/>
  <c r="AF318" i="5"/>
  <c r="AH318" i="5" s="1"/>
  <c r="AF340" i="5"/>
  <c r="AG340" i="5" s="1"/>
  <c r="AF232" i="5"/>
  <c r="AH232" i="5" s="1"/>
  <c r="AF22" i="5"/>
  <c r="AH22" i="5" s="1"/>
  <c r="AF44" i="5"/>
  <c r="AH44" i="5" s="1"/>
  <c r="AF93" i="5"/>
  <c r="AG93" i="5" s="1"/>
  <c r="AF312" i="5"/>
  <c r="AH312" i="5" s="1"/>
  <c r="AF205" i="5"/>
  <c r="AG205" i="5" s="1"/>
  <c r="AF251" i="5"/>
  <c r="AH251" i="5" s="1"/>
  <c r="AF325" i="5"/>
  <c r="AG325" i="5" s="1"/>
  <c r="AF222" i="5"/>
  <c r="AH222" i="5" s="1"/>
  <c r="AA146" i="6"/>
  <c r="AP146" i="6" s="1"/>
  <c r="AF139" i="5"/>
  <c r="AH139" i="5" s="1"/>
  <c r="AF457" i="5"/>
  <c r="AH457" i="5" s="1"/>
  <c r="AF329" i="5"/>
  <c r="AG329" i="5" s="1"/>
  <c r="AF210" i="5"/>
  <c r="AH210" i="5" s="1"/>
  <c r="AA74" i="6"/>
  <c r="AQ74" i="6" s="1"/>
  <c r="Z77" i="6"/>
  <c r="AK77" i="6" s="1"/>
  <c r="AL77" i="6" s="1"/>
  <c r="AA77" i="6"/>
  <c r="AQ77" i="6" s="1"/>
  <c r="AA124" i="6"/>
  <c r="AQ124" i="6" s="1"/>
  <c r="AA75" i="6"/>
  <c r="AP75" i="6" s="1"/>
  <c r="Z124" i="6"/>
  <c r="AF124" i="6" s="1"/>
  <c r="AG124" i="6" s="1"/>
  <c r="Z136" i="6"/>
  <c r="AN136" i="6" s="1"/>
  <c r="Z156" i="6"/>
  <c r="AK156" i="6" s="1"/>
  <c r="AL156" i="6" s="1"/>
  <c r="Z75" i="6"/>
  <c r="AN75" i="6" s="1"/>
  <c r="AA136" i="6"/>
  <c r="AP136" i="6" s="1"/>
  <c r="Z84" i="6"/>
  <c r="AK84" i="6" s="1"/>
  <c r="AL84" i="6" s="1"/>
  <c r="AA156" i="6"/>
  <c r="AP156" i="6" s="1"/>
  <c r="AA127" i="6"/>
  <c r="AC127" i="6" s="1"/>
  <c r="AD127" i="6" s="1"/>
  <c r="Z127" i="6"/>
  <c r="AK127" i="6" s="1"/>
  <c r="AL127" i="6" s="1"/>
  <c r="AA95" i="6"/>
  <c r="AQ95" i="6" s="1"/>
  <c r="Z95" i="6"/>
  <c r="AN95" i="6" s="1"/>
  <c r="Z107" i="6"/>
  <c r="AF107" i="6" s="1"/>
  <c r="AG107" i="6" s="1"/>
  <c r="AA61" i="6"/>
  <c r="AQ61" i="6" s="1"/>
  <c r="AA107" i="6"/>
  <c r="AQ107" i="6" s="1"/>
  <c r="AA67" i="6"/>
  <c r="AC67" i="6" s="1"/>
  <c r="AD67" i="6" s="1"/>
  <c r="AA92" i="6"/>
  <c r="AP92" i="6" s="1"/>
  <c r="Z67" i="6"/>
  <c r="AK67" i="6" s="1"/>
  <c r="AL67" i="6" s="1"/>
  <c r="Z92" i="6"/>
  <c r="AF92" i="6" s="1"/>
  <c r="AG92" i="6" s="1"/>
  <c r="AA142" i="6"/>
  <c r="AQ142" i="6" s="1"/>
  <c r="AP28" i="6"/>
  <c r="AC28" i="6"/>
  <c r="AD28" i="6" s="1"/>
  <c r="Z104" i="6"/>
  <c r="AF104" i="6" s="1"/>
  <c r="AG104" i="6" s="1"/>
  <c r="Z153" i="6"/>
  <c r="AK153" i="6" s="1"/>
  <c r="AL153" i="6" s="1"/>
  <c r="AA104" i="6"/>
  <c r="AC104" i="6" s="1"/>
  <c r="AD104" i="6" s="1"/>
  <c r="AA153" i="6"/>
  <c r="AQ153" i="6" s="1"/>
  <c r="Z58" i="6"/>
  <c r="AF58" i="6" s="1"/>
  <c r="AG58" i="6" s="1"/>
  <c r="Z111" i="6"/>
  <c r="AF111" i="6" s="1"/>
  <c r="AG111" i="6" s="1"/>
  <c r="AA118" i="6"/>
  <c r="AQ118" i="6" s="1"/>
  <c r="Z60" i="6"/>
  <c r="AF60" i="6" s="1"/>
  <c r="AG60" i="6" s="1"/>
  <c r="AA111" i="6"/>
  <c r="AC111" i="6" s="1"/>
  <c r="AD111" i="6" s="1"/>
  <c r="Z118" i="6"/>
  <c r="AK118" i="6" s="1"/>
  <c r="AL118" i="6" s="1"/>
  <c r="AA60" i="6"/>
  <c r="AQ60" i="6" s="1"/>
  <c r="AF229" i="5"/>
  <c r="AH229" i="5" s="1"/>
  <c r="AF262" i="5"/>
  <c r="AG262" i="5" s="1"/>
  <c r="AF294" i="5"/>
  <c r="AG294" i="5" s="1"/>
  <c r="Z51" i="6"/>
  <c r="AN51" i="6" s="1"/>
  <c r="Z122" i="6"/>
  <c r="AF122" i="6" s="1"/>
  <c r="AG122" i="6" s="1"/>
  <c r="AA147" i="6"/>
  <c r="AC147" i="6" s="1"/>
  <c r="AD147" i="6" s="1"/>
  <c r="AA113" i="6"/>
  <c r="AC113" i="6" s="1"/>
  <c r="AD113" i="6" s="1"/>
  <c r="Z106" i="6"/>
  <c r="AF106" i="6" s="1"/>
  <c r="AG106" i="6" s="1"/>
  <c r="Z131" i="6"/>
  <c r="AN131" i="6" s="1"/>
  <c r="AA51" i="6"/>
  <c r="AP51" i="6" s="1"/>
  <c r="AA122" i="6"/>
  <c r="AQ122" i="6" s="1"/>
  <c r="Z147" i="6"/>
  <c r="AK147" i="6" s="1"/>
  <c r="AL147" i="6" s="1"/>
  <c r="Z113" i="6"/>
  <c r="AN113" i="6" s="1"/>
  <c r="AA106" i="6"/>
  <c r="AP106" i="6" s="1"/>
  <c r="AA131" i="6"/>
  <c r="AP131" i="6" s="1"/>
  <c r="Z81" i="6"/>
  <c r="AF81" i="6" s="1"/>
  <c r="AG81" i="6" s="1"/>
  <c r="Z69" i="6"/>
  <c r="AK69" i="6" s="1"/>
  <c r="AL69" i="6" s="1"/>
  <c r="AF34" i="5"/>
  <c r="AH34" i="5" s="1"/>
  <c r="AF158" i="5"/>
  <c r="AH158" i="5" s="1"/>
  <c r="AF345" i="5"/>
  <c r="AH345" i="5" s="1"/>
  <c r="Z45" i="6"/>
  <c r="AN45" i="6" s="1"/>
  <c r="AA81" i="6"/>
  <c r="AP81" i="6" s="1"/>
  <c r="AA69" i="6"/>
  <c r="AQ69" i="6" s="1"/>
  <c r="AA45" i="6"/>
  <c r="AQ45" i="6" s="1"/>
  <c r="Z71" i="6"/>
  <c r="AK71" i="6" s="1"/>
  <c r="AL71" i="6" s="1"/>
  <c r="Z154" i="6"/>
  <c r="AN154" i="6" s="1"/>
  <c r="AA71" i="6"/>
  <c r="AC71" i="6" s="1"/>
  <c r="AD71" i="6" s="1"/>
  <c r="AA154" i="6"/>
  <c r="AC154" i="6" s="1"/>
  <c r="AD154" i="6" s="1"/>
  <c r="X26" i="6"/>
  <c r="AA26" i="6" s="1"/>
  <c r="X24" i="6"/>
  <c r="AA24" i="6" s="1"/>
  <c r="AN24" i="6"/>
  <c r="AF24" i="6"/>
  <c r="AG24" i="6" s="1"/>
  <c r="X12" i="6"/>
  <c r="AA12" i="6" s="1"/>
  <c r="X19" i="6"/>
  <c r="AA19" i="6" s="1"/>
  <c r="X29" i="6"/>
  <c r="X30" i="6"/>
  <c r="X9" i="6"/>
  <c r="AA9" i="6" s="1"/>
  <c r="X35" i="6"/>
  <c r="X33" i="6"/>
  <c r="AF33" i="6"/>
  <c r="AG33" i="6" s="1"/>
  <c r="AN33" i="6"/>
  <c r="AC36" i="6"/>
  <c r="AD36" i="6" s="1"/>
  <c r="AP36" i="6"/>
  <c r="X31" i="6"/>
  <c r="AF31" i="6"/>
  <c r="AG31" i="6" s="1"/>
  <c r="AN31" i="6"/>
  <c r="X34" i="6"/>
  <c r="X32" i="6"/>
  <c r="AF32" i="6"/>
  <c r="AG32" i="6" s="1"/>
  <c r="AN32" i="6"/>
  <c r="X36" i="6"/>
  <c r="AN36" i="6"/>
  <c r="X18" i="6"/>
  <c r="AA18" i="6" s="1"/>
  <c r="X16" i="6"/>
  <c r="AA16" i="6" s="1"/>
  <c r="AF16" i="6"/>
  <c r="AG16" i="6" s="1"/>
  <c r="AN16" i="6"/>
  <c r="X21" i="6"/>
  <c r="AA21" i="6" s="1"/>
  <c r="X14" i="6"/>
  <c r="AA14" i="6" s="1"/>
  <c r="X13" i="6"/>
  <c r="AA13" i="6" s="1"/>
  <c r="AP31" i="6"/>
  <c r="AC31" i="6"/>
  <c r="AD31" i="6" s="1"/>
  <c r="X22" i="6"/>
  <c r="AA22" i="6" s="1"/>
  <c r="X17" i="6"/>
  <c r="AA17" i="6" s="1"/>
  <c r="AQ17" i="6" s="1"/>
  <c r="AF17" i="6"/>
  <c r="AG17" i="6" s="1"/>
  <c r="AN17" i="6"/>
  <c r="X15" i="6"/>
  <c r="AA15" i="6" s="1"/>
  <c r="AN15" i="6"/>
  <c r="X25" i="6"/>
  <c r="AA25" i="6" s="1"/>
  <c r="X23" i="6"/>
  <c r="AA23" i="6" s="1"/>
  <c r="X28" i="6"/>
  <c r="AN28" i="6"/>
  <c r="AF28" i="6"/>
  <c r="AG28" i="6" s="1"/>
  <c r="X10" i="6"/>
  <c r="AA10" i="6" s="1"/>
  <c r="AP10" i="6" s="1"/>
  <c r="AN10" i="6"/>
  <c r="AF10" i="6"/>
  <c r="AG10" i="6" s="1"/>
  <c r="X8" i="6"/>
  <c r="AA8" i="6" s="1"/>
  <c r="AN8" i="6"/>
  <c r="AF8" i="6"/>
  <c r="AG8" i="6" s="1"/>
  <c r="X20" i="6"/>
  <c r="AA20" i="6" s="1"/>
  <c r="AF20" i="6"/>
  <c r="AG20" i="6" s="1"/>
  <c r="AN20" i="6"/>
  <c r="X27" i="6"/>
  <c r="X11" i="6"/>
  <c r="AA11" i="6" s="1"/>
  <c r="AF541" i="5"/>
  <c r="AH541" i="5" s="1"/>
  <c r="AF520" i="5"/>
  <c r="AH520" i="5" s="1"/>
  <c r="AF419" i="5"/>
  <c r="AG419" i="5" s="1"/>
  <c r="AF494" i="5"/>
  <c r="AH494" i="5" s="1"/>
  <c r="AF429" i="5"/>
  <c r="AH429" i="5" s="1"/>
  <c r="AF539" i="5"/>
  <c r="AH539" i="5" s="1"/>
  <c r="AF499" i="5"/>
  <c r="AG499" i="5" s="1"/>
  <c r="AF469" i="5"/>
  <c r="AG469" i="5" s="1"/>
  <c r="AF495" i="5"/>
  <c r="AG495" i="5" s="1"/>
  <c r="AF485" i="5"/>
  <c r="AH485" i="5" s="1"/>
  <c r="AF348" i="5"/>
  <c r="AH348" i="5" s="1"/>
  <c r="AF505" i="5"/>
  <c r="AH505" i="5" s="1"/>
  <c r="AF413" i="5"/>
  <c r="AH413" i="5" s="1"/>
  <c r="AF455" i="5"/>
  <c r="AG455" i="5" s="1"/>
  <c r="AF326" i="5"/>
  <c r="AG326" i="5" s="1"/>
  <c r="AF394" i="5"/>
  <c r="AG394" i="5" s="1"/>
  <c r="AF293" i="5"/>
  <c r="AG293" i="5" s="1"/>
  <c r="AF418" i="5"/>
  <c r="AH418" i="5" s="1"/>
  <c r="AF212" i="5"/>
  <c r="AH212" i="5" s="1"/>
  <c r="AF151" i="5"/>
  <c r="AH151" i="5" s="1"/>
  <c r="AF324" i="5"/>
  <c r="AG324" i="5" s="1"/>
  <c r="AF166" i="5"/>
  <c r="AH166" i="5" s="1"/>
  <c r="AF332" i="5"/>
  <c r="AG332" i="5" s="1"/>
  <c r="AF98" i="5"/>
  <c r="AG98" i="5" s="1"/>
  <c r="AF256" i="5"/>
  <c r="AH256" i="5" s="1"/>
  <c r="AF234" i="5"/>
  <c r="AH234" i="5" s="1"/>
  <c r="AF68" i="5"/>
  <c r="AG68" i="5" s="1"/>
  <c r="AF21" i="5"/>
  <c r="AH21" i="5" s="1"/>
  <c r="AF167" i="5"/>
  <c r="AH167" i="5" s="1"/>
  <c r="AF70" i="5"/>
  <c r="AH70" i="5" s="1"/>
  <c r="AF224" i="5"/>
  <c r="AG224" i="5" s="1"/>
  <c r="AF129" i="5"/>
  <c r="AH129" i="5" s="1"/>
  <c r="AF85" i="5"/>
  <c r="AH85" i="5" s="1"/>
  <c r="AF147" i="5"/>
  <c r="AG147" i="5" s="1"/>
  <c r="AF72" i="5"/>
  <c r="AG72" i="5" s="1"/>
  <c r="AF164" i="5"/>
  <c r="AG164" i="5" s="1"/>
  <c r="AF38" i="5"/>
  <c r="AH38" i="5" s="1"/>
  <c r="AF24" i="5"/>
  <c r="AH24" i="5" s="1"/>
  <c r="AF87" i="5"/>
  <c r="AG87" i="5" s="1"/>
  <c r="AF49" i="5"/>
  <c r="AG49" i="5" s="1"/>
  <c r="AF128" i="5"/>
  <c r="AH128" i="5" s="1"/>
  <c r="AF50" i="5"/>
  <c r="AH50" i="5" s="1"/>
  <c r="AF258" i="5"/>
  <c r="AH258" i="5" s="1"/>
  <c r="AF160" i="5"/>
  <c r="AG160" i="5" s="1"/>
  <c r="AF116" i="5"/>
  <c r="AH116" i="5" s="1"/>
  <c r="AF302" i="5"/>
  <c r="AG302" i="5" s="1"/>
  <c r="AF278" i="5"/>
  <c r="AG278" i="5" s="1"/>
  <c r="AF253" i="5"/>
  <c r="AG253" i="5" s="1"/>
  <c r="AF241" i="5"/>
  <c r="AH241" i="5" s="1"/>
  <c r="AF350" i="5"/>
  <c r="AH350" i="5" s="1"/>
  <c r="AF316" i="5"/>
  <c r="AH316" i="5" s="1"/>
  <c r="AF365" i="5"/>
  <c r="AH365" i="5" s="1"/>
  <c r="AF10" i="5"/>
  <c r="AG10" i="5" s="1"/>
  <c r="AF559" i="5"/>
  <c r="AH559" i="5" s="1"/>
  <c r="AF508" i="5"/>
  <c r="AG508" i="5" s="1"/>
  <c r="AF260" i="5"/>
  <c r="AH260" i="5" s="1"/>
  <c r="AF492" i="5"/>
  <c r="AH492" i="5" s="1"/>
  <c r="AF343" i="5"/>
  <c r="AH343" i="5" s="1"/>
  <c r="AF526" i="5"/>
  <c r="AH526" i="5" s="1"/>
  <c r="AF443" i="5"/>
  <c r="AG443" i="5" s="1"/>
  <c r="AF477" i="5"/>
  <c r="AH477" i="5" s="1"/>
  <c r="AF481" i="5"/>
  <c r="AG481" i="5" s="1"/>
  <c r="AF459" i="5"/>
  <c r="AH459" i="5" s="1"/>
  <c r="AF296" i="5"/>
  <c r="AH296" i="5" s="1"/>
  <c r="AF502" i="5"/>
  <c r="AG502" i="5" s="1"/>
  <c r="AF386" i="5"/>
  <c r="AG386" i="5" s="1"/>
  <c r="AF411" i="5"/>
  <c r="AH411" i="5" s="1"/>
  <c r="AF308" i="5"/>
  <c r="AH308" i="5" s="1"/>
  <c r="AF375" i="5"/>
  <c r="AG375" i="5" s="1"/>
  <c r="AF328" i="5"/>
  <c r="AG328" i="5" s="1"/>
  <c r="AF381" i="5"/>
  <c r="AG381" i="5" s="1"/>
  <c r="AF395" i="5"/>
  <c r="AG395" i="5" s="1"/>
  <c r="AF170" i="5"/>
  <c r="AH170" i="5" s="1"/>
  <c r="AF297" i="5"/>
  <c r="AH297" i="5" s="1"/>
  <c r="AF101" i="5"/>
  <c r="AH101" i="5" s="1"/>
  <c r="AF355" i="5"/>
  <c r="AG355" i="5" s="1"/>
  <c r="AF54" i="5"/>
  <c r="AG54" i="5" s="1"/>
  <c r="AF211" i="5"/>
  <c r="AG211" i="5" s="1"/>
  <c r="AF200" i="5"/>
  <c r="AH200" i="5" s="1"/>
  <c r="AF52" i="5"/>
  <c r="AH52" i="5" s="1"/>
  <c r="AF351" i="5"/>
  <c r="AH351" i="5" s="1"/>
  <c r="AF182" i="5"/>
  <c r="AH182" i="5" s="1"/>
  <c r="AF59" i="5"/>
  <c r="AH59" i="5" s="1"/>
  <c r="AF193" i="5"/>
  <c r="AH193" i="5" s="1"/>
  <c r="AF133" i="5"/>
  <c r="AH133" i="5" s="1"/>
  <c r="AF83" i="5"/>
  <c r="AH83" i="5" s="1"/>
  <c r="AF148" i="5"/>
  <c r="AG148" i="5" s="1"/>
  <c r="AF195" i="5"/>
  <c r="AH195" i="5" s="1"/>
  <c r="AF155" i="5"/>
  <c r="AG155" i="5" s="1"/>
  <c r="AF32" i="5"/>
  <c r="AH32" i="5" s="1"/>
  <c r="AF46" i="5"/>
  <c r="AG46" i="5" s="1"/>
  <c r="AF259" i="5"/>
  <c r="AH259" i="5" s="1"/>
  <c r="AF55" i="5"/>
  <c r="AH55" i="5" s="1"/>
  <c r="AF173" i="5"/>
  <c r="AH173" i="5" s="1"/>
  <c r="AF89" i="5"/>
  <c r="AH89" i="5" s="1"/>
  <c r="AF299" i="5"/>
  <c r="AH299" i="5" s="1"/>
  <c r="AF277" i="5"/>
  <c r="AG277" i="5" s="1"/>
  <c r="AF135" i="5"/>
  <c r="AG135" i="5" s="1"/>
  <c r="AF321" i="5"/>
  <c r="AH321" i="5" s="1"/>
  <c r="AF120" i="5"/>
  <c r="AG120" i="5" s="1"/>
  <c r="AF273" i="5"/>
  <c r="AH273" i="5" s="1"/>
  <c r="AF276" i="5"/>
  <c r="AH276" i="5" s="1"/>
  <c r="AF556" i="5"/>
  <c r="AH556" i="5" s="1"/>
  <c r="AF144" i="5"/>
  <c r="AG144" i="5" s="1"/>
  <c r="AF468" i="5"/>
  <c r="AH468" i="5" s="1"/>
  <c r="AF13" i="5"/>
  <c r="AH13" i="5" s="1"/>
  <c r="AF552" i="5"/>
  <c r="AH552" i="5" s="1"/>
  <c r="AF501" i="5"/>
  <c r="AG501" i="5" s="1"/>
  <c r="AF465" i="5"/>
  <c r="AG465" i="5" s="1"/>
  <c r="AF463" i="5"/>
  <c r="AG463" i="5" s="1"/>
  <c r="AF319" i="5"/>
  <c r="AG319" i="5" s="1"/>
  <c r="AF519" i="5"/>
  <c r="AG519" i="5" s="1"/>
  <c r="AF460" i="5"/>
  <c r="AG460" i="5" s="1"/>
  <c r="AF451" i="5"/>
  <c r="AG451" i="5" s="1"/>
  <c r="AF444" i="5"/>
  <c r="AG444" i="5" s="1"/>
  <c r="AF464" i="5"/>
  <c r="AH464" i="5" s="1"/>
  <c r="AF248" i="5"/>
  <c r="AH248" i="5" s="1"/>
  <c r="AF480" i="5"/>
  <c r="AG480" i="5" s="1"/>
  <c r="AF315" i="5"/>
  <c r="AH315" i="5" s="1"/>
  <c r="AF403" i="5"/>
  <c r="AH403" i="5" s="1"/>
  <c r="AF285" i="5"/>
  <c r="AH285" i="5" s="1"/>
  <c r="AF367" i="5"/>
  <c r="AG367" i="5" s="1"/>
  <c r="AF283" i="5"/>
  <c r="AH283" i="5" s="1"/>
  <c r="AF371" i="5"/>
  <c r="AG371" i="5" s="1"/>
  <c r="AF374" i="5"/>
  <c r="AH374" i="5" s="1"/>
  <c r="AF125" i="5"/>
  <c r="AH125" i="5" s="1"/>
  <c r="AF359" i="5"/>
  <c r="AH359" i="5" s="1"/>
  <c r="AF110" i="5"/>
  <c r="AG110" i="5" s="1"/>
  <c r="AF311" i="5"/>
  <c r="AG311" i="5" s="1"/>
  <c r="AF404" i="5"/>
  <c r="AG404" i="5" s="1"/>
  <c r="AF143" i="5"/>
  <c r="AG143" i="5" s="1"/>
  <c r="AF191" i="5"/>
  <c r="AG191" i="5" s="1"/>
  <c r="AF36" i="5"/>
  <c r="AG36" i="5" s="1"/>
  <c r="AF235" i="5"/>
  <c r="AH235" i="5" s="1"/>
  <c r="AF146" i="5"/>
  <c r="AH146" i="5" s="1"/>
  <c r="AF35" i="5"/>
  <c r="AG35" i="5" s="1"/>
  <c r="AF223" i="5"/>
  <c r="AG223" i="5" s="1"/>
  <c r="AF84" i="5"/>
  <c r="AH84" i="5" s="1"/>
  <c r="AF142" i="5"/>
  <c r="AG142" i="5" s="1"/>
  <c r="AF186" i="5"/>
  <c r="AG186" i="5" s="1"/>
  <c r="AF281" i="5"/>
  <c r="AH281" i="5" s="1"/>
  <c r="AF124" i="5"/>
  <c r="AH124" i="5" s="1"/>
  <c r="AF78" i="5"/>
  <c r="AH78" i="5" s="1"/>
  <c r="AF51" i="5"/>
  <c r="AH51" i="5" s="1"/>
  <c r="AF48" i="5"/>
  <c r="AH48" i="5" s="1"/>
  <c r="AF57" i="5"/>
  <c r="AG57" i="5" s="1"/>
  <c r="AF176" i="5"/>
  <c r="AG176" i="5" s="1"/>
  <c r="AF102" i="5"/>
  <c r="AG102" i="5" s="1"/>
  <c r="AF81" i="5"/>
  <c r="AH81" i="5" s="1"/>
  <c r="AF320" i="5"/>
  <c r="AH320" i="5" s="1"/>
  <c r="AF238" i="5"/>
  <c r="AH238" i="5" s="1"/>
  <c r="AF42" i="5"/>
  <c r="AH42" i="5" s="1"/>
  <c r="AF126" i="5"/>
  <c r="AH126" i="5" s="1"/>
  <c r="AF275" i="5"/>
  <c r="AG275" i="5" s="1"/>
  <c r="AF279" i="5"/>
  <c r="AG279" i="5" s="1"/>
  <c r="AF127" i="5"/>
  <c r="AH127" i="5" s="1"/>
  <c r="AF174" i="5"/>
  <c r="AH174" i="5" s="1"/>
  <c r="AF337" i="5"/>
  <c r="AH337" i="5" s="1"/>
  <c r="AF490" i="5"/>
  <c r="AG490" i="5" s="1"/>
  <c r="AF272" i="5"/>
  <c r="AH272" i="5" s="1"/>
  <c r="AF531" i="5"/>
  <c r="AG531" i="5" s="1"/>
  <c r="AF362" i="5"/>
  <c r="AH362" i="5" s="1"/>
  <c r="AF449" i="5"/>
  <c r="AG449" i="5" s="1"/>
  <c r="AF560" i="5"/>
  <c r="AH560" i="5" s="1"/>
  <c r="AF427" i="5"/>
  <c r="AH427" i="5" s="1"/>
  <c r="AF199" i="5"/>
  <c r="AG199" i="5" s="1"/>
  <c r="AF472" i="5"/>
  <c r="AG472" i="5" s="1"/>
  <c r="AF304" i="5"/>
  <c r="AH304" i="5" s="1"/>
  <c r="AF412" i="5"/>
  <c r="AH412" i="5" s="1"/>
  <c r="AF172" i="5"/>
  <c r="AH172" i="5" s="1"/>
  <c r="AF360" i="5"/>
  <c r="AH360" i="5" s="1"/>
  <c r="AF274" i="5"/>
  <c r="AH274" i="5" s="1"/>
  <c r="AF383" i="5"/>
  <c r="AH383" i="5" s="1"/>
  <c r="AF331" i="5"/>
  <c r="AH331" i="5" s="1"/>
  <c r="AF90" i="5"/>
  <c r="AG90" i="5" s="1"/>
  <c r="AF298" i="5"/>
  <c r="AH298" i="5" s="1"/>
  <c r="AF80" i="5"/>
  <c r="AG80" i="5" s="1"/>
  <c r="AF290" i="5"/>
  <c r="AG290" i="5" s="1"/>
  <c r="AF372" i="5"/>
  <c r="AH372" i="5" s="1"/>
  <c r="AF175" i="5"/>
  <c r="AH175" i="5" s="1"/>
  <c r="AF208" i="5"/>
  <c r="AG208" i="5" s="1"/>
  <c r="AF20" i="5"/>
  <c r="AG20" i="5" s="1"/>
  <c r="AF228" i="5"/>
  <c r="AG228" i="5" s="1"/>
  <c r="AF114" i="5"/>
  <c r="AG114" i="5" s="1"/>
  <c r="AF75" i="5"/>
  <c r="AG75" i="5" s="1"/>
  <c r="AF220" i="5"/>
  <c r="AH220" i="5" s="1"/>
  <c r="AF45" i="5"/>
  <c r="AH45" i="5" s="1"/>
  <c r="AF268" i="5"/>
  <c r="AH268" i="5" s="1"/>
  <c r="AF154" i="5"/>
  <c r="AH154" i="5" s="1"/>
  <c r="AF271" i="5"/>
  <c r="AG271" i="5" s="1"/>
  <c r="AF137" i="5"/>
  <c r="AG137" i="5" s="1"/>
  <c r="AF388" i="5"/>
  <c r="AH388" i="5" s="1"/>
  <c r="AF96" i="5"/>
  <c r="AG96" i="5" s="1"/>
  <c r="AF64" i="5"/>
  <c r="AH64" i="5" s="1"/>
  <c r="AF63" i="5"/>
  <c r="AH63" i="5" s="1"/>
  <c r="AF198" i="5"/>
  <c r="AH198" i="5" s="1"/>
  <c r="AF103" i="5"/>
  <c r="AH103" i="5" s="1"/>
  <c r="AF94" i="5"/>
  <c r="AG94" i="5" s="1"/>
  <c r="AF25" i="5"/>
  <c r="AG25" i="5" s="1"/>
  <c r="AF305" i="5"/>
  <c r="AH305" i="5" s="1"/>
  <c r="AF169" i="5"/>
  <c r="AH169" i="5" s="1"/>
  <c r="AF165" i="5"/>
  <c r="AG165" i="5" s="1"/>
  <c r="AF390" i="5"/>
  <c r="AH390" i="5" s="1"/>
  <c r="AF341" i="5"/>
  <c r="AG341" i="5" s="1"/>
  <c r="AF161" i="5"/>
  <c r="AH161" i="5" s="1"/>
  <c r="AF221" i="5"/>
  <c r="AG221" i="5" s="1"/>
  <c r="AF498" i="5"/>
  <c r="AH498" i="5" s="1"/>
  <c r="AF518" i="5"/>
  <c r="AH518" i="5" s="1"/>
  <c r="AF491" i="5"/>
  <c r="AG491" i="5" s="1"/>
  <c r="AF410" i="5"/>
  <c r="AG410" i="5" s="1"/>
  <c r="AF540" i="5"/>
  <c r="AG540" i="5" s="1"/>
  <c r="AF452" i="5"/>
  <c r="AH452" i="5" s="1"/>
  <c r="AF438" i="5"/>
  <c r="AH438" i="5" s="1"/>
  <c r="AF544" i="5"/>
  <c r="AG544" i="5" s="1"/>
  <c r="AF392" i="5"/>
  <c r="AH392" i="5" s="1"/>
  <c r="AF138" i="5"/>
  <c r="AG138" i="5" s="1"/>
  <c r="AF327" i="5"/>
  <c r="AH327" i="5" s="1"/>
  <c r="AF233" i="5"/>
  <c r="AH233" i="5" s="1"/>
  <c r="AF339" i="5"/>
  <c r="AH339" i="5" s="1"/>
  <c r="AF334" i="5"/>
  <c r="AH334" i="5" s="1"/>
  <c r="AF71" i="5"/>
  <c r="AG71" i="5" s="1"/>
  <c r="AF284" i="5"/>
  <c r="AH284" i="5" s="1"/>
  <c r="AF310" i="5"/>
  <c r="AG310" i="5" s="1"/>
  <c r="AF264" i="5"/>
  <c r="AH264" i="5" s="1"/>
  <c r="AF363" i="5"/>
  <c r="AG363" i="5" s="1"/>
  <c r="AF159" i="5"/>
  <c r="AG159" i="5" s="1"/>
  <c r="AF171" i="5"/>
  <c r="AH171" i="5" s="1"/>
  <c r="AF99" i="5"/>
  <c r="AH99" i="5" s="1"/>
  <c r="AF231" i="5"/>
  <c r="AG231" i="5" s="1"/>
  <c r="AF122" i="5"/>
  <c r="AH122" i="5" s="1"/>
  <c r="AF61" i="5"/>
  <c r="AG61" i="5" s="1"/>
  <c r="AF192" i="5"/>
  <c r="AH192" i="5" s="1"/>
  <c r="AF88" i="5"/>
  <c r="AH88" i="5" s="1"/>
  <c r="AF314" i="5"/>
  <c r="AG314" i="5" s="1"/>
  <c r="AF104" i="5"/>
  <c r="AH104" i="5" s="1"/>
  <c r="AF188" i="5"/>
  <c r="AH188" i="5" s="1"/>
  <c r="AF97" i="5"/>
  <c r="AG97" i="5" s="1"/>
  <c r="AF255" i="5"/>
  <c r="AH255" i="5" s="1"/>
  <c r="AF69" i="5"/>
  <c r="AH69" i="5" s="1"/>
  <c r="AF112" i="5"/>
  <c r="AG112" i="5" s="1"/>
  <c r="AF65" i="5"/>
  <c r="AG65" i="5" s="1"/>
  <c r="AF289" i="5"/>
  <c r="AH289" i="5" s="1"/>
  <c r="AF109" i="5"/>
  <c r="AG109" i="5" s="1"/>
  <c r="AF33" i="5"/>
  <c r="AG33" i="5" s="1"/>
  <c r="AF26" i="5"/>
  <c r="AH26" i="5" s="1"/>
  <c r="AF56" i="5"/>
  <c r="AG56" i="5" s="1"/>
  <c r="AF213" i="5"/>
  <c r="AG213" i="5" s="1"/>
  <c r="AF168" i="5"/>
  <c r="AG168" i="5" s="1"/>
  <c r="AF549" i="5"/>
  <c r="AH549" i="5" s="1"/>
  <c r="AF385" i="5"/>
  <c r="AG385" i="5" s="1"/>
  <c r="AF194" i="5"/>
  <c r="AG194" i="5" s="1"/>
  <c r="AF254" i="5"/>
  <c r="AH254" i="5" s="1"/>
  <c r="AF425" i="5"/>
  <c r="AH425" i="5" s="1"/>
  <c r="AF554" i="5"/>
  <c r="AG554" i="5" s="1"/>
  <c r="AF453" i="5"/>
  <c r="AH453" i="5" s="1"/>
  <c r="AF421" i="5"/>
  <c r="AH421" i="5" s="1"/>
  <c r="AF252" i="5"/>
  <c r="AH252" i="5" s="1"/>
  <c r="AF291" i="5"/>
  <c r="AH291" i="5" s="1"/>
  <c r="AF162" i="5"/>
  <c r="AH162" i="5" s="1"/>
  <c r="AF8" i="5"/>
  <c r="AG8" i="5" s="1"/>
  <c r="AF467" i="5"/>
  <c r="AH467" i="5" s="1"/>
  <c r="AF454" i="5"/>
  <c r="AH454" i="5" s="1"/>
  <c r="AF513" i="5"/>
  <c r="AH513" i="5" s="1"/>
  <c r="AF400" i="5"/>
  <c r="AH400" i="5" s="1"/>
  <c r="AF484" i="5"/>
  <c r="AH484" i="5" s="1"/>
  <c r="AF489" i="5"/>
  <c r="AG489" i="5" s="1"/>
  <c r="AF113" i="5"/>
  <c r="AH113" i="5" s="1"/>
  <c r="AF408" i="5"/>
  <c r="AG408" i="5" s="1"/>
  <c r="AF521" i="5"/>
  <c r="AH521" i="5" s="1"/>
  <c r="AF447" i="5"/>
  <c r="AG447" i="5" s="1"/>
  <c r="AF555" i="5"/>
  <c r="AG555" i="5" s="1"/>
  <c r="AF441" i="5"/>
  <c r="AH441" i="5" s="1"/>
  <c r="AF500" i="5"/>
  <c r="AH500" i="5" s="1"/>
  <c r="AF402" i="5"/>
  <c r="AG402" i="5" s="1"/>
  <c r="AF76" i="5"/>
  <c r="AG76" i="5" s="1"/>
  <c r="AF364" i="5"/>
  <c r="AH364" i="5" s="1"/>
  <c r="AF216" i="5"/>
  <c r="AH216" i="5" s="1"/>
  <c r="AF307" i="5"/>
  <c r="AG307" i="5" s="1"/>
  <c r="AF282" i="5"/>
  <c r="AH282" i="5" s="1"/>
  <c r="AF92" i="5"/>
  <c r="AH92" i="5" s="1"/>
  <c r="AF287" i="5"/>
  <c r="AG287" i="5" s="1"/>
  <c r="AF378" i="5"/>
  <c r="AH378" i="5" s="1"/>
  <c r="AF242" i="5"/>
  <c r="AH242" i="5" s="1"/>
  <c r="AF280" i="5"/>
  <c r="AG280" i="5" s="1"/>
  <c r="AF37" i="5"/>
  <c r="AG37" i="5" s="1"/>
  <c r="AF183" i="5"/>
  <c r="AH183" i="5" s="1"/>
  <c r="AF67" i="5"/>
  <c r="AH67" i="5" s="1"/>
  <c r="AF236" i="5"/>
  <c r="AH236" i="5" s="1"/>
  <c r="AF121" i="5"/>
  <c r="AG121" i="5" s="1"/>
  <c r="AF239" i="5"/>
  <c r="AG239" i="5" s="1"/>
  <c r="AF145" i="5"/>
  <c r="AH145" i="5" s="1"/>
  <c r="AF74" i="5"/>
  <c r="AH74" i="5" s="1"/>
  <c r="AF190" i="5"/>
  <c r="AH190" i="5" s="1"/>
  <c r="AF82" i="5"/>
  <c r="AG82" i="5" s="1"/>
  <c r="AF179" i="5"/>
  <c r="AH179" i="5" s="1"/>
  <c r="AF60" i="5"/>
  <c r="AG60" i="5" s="1"/>
  <c r="AF237" i="5"/>
  <c r="AH237" i="5" s="1"/>
  <c r="AF53" i="5"/>
  <c r="AG53" i="5" s="1"/>
  <c r="AF58" i="5"/>
  <c r="AG58" i="5" s="1"/>
  <c r="AF86" i="5"/>
  <c r="AH86" i="5" s="1"/>
  <c r="AF353" i="5"/>
  <c r="AG353" i="5" s="1"/>
  <c r="AF202" i="5"/>
  <c r="AH202" i="5" s="1"/>
  <c r="AF66" i="5"/>
  <c r="AH66" i="5" s="1"/>
  <c r="AF247" i="5"/>
  <c r="AH247" i="5" s="1"/>
  <c r="AF73" i="5"/>
  <c r="AG73" i="5" s="1"/>
  <c r="AF118" i="5"/>
  <c r="AH118" i="5" s="1"/>
  <c r="AF206" i="5"/>
  <c r="AH206" i="5" s="1"/>
  <c r="AF149" i="5"/>
  <c r="AH149" i="5" s="1"/>
  <c r="AF227" i="5"/>
  <c r="AH227" i="5" s="1"/>
  <c r="AF243" i="5"/>
  <c r="AG243" i="5" s="1"/>
  <c r="AF509" i="5"/>
  <c r="AG509" i="5" s="1"/>
  <c r="AF525" i="5"/>
  <c r="AH525" i="5" s="1"/>
  <c r="B138" i="3"/>
  <c r="B139" i="3" s="1"/>
  <c r="B136" i="3"/>
  <c r="AF108" i="5"/>
  <c r="AG108" i="5" s="1"/>
  <c r="AF250" i="5"/>
  <c r="AG250" i="5" s="1"/>
  <c r="AF303" i="5"/>
  <c r="AG303" i="5" s="1"/>
  <c r="AF185" i="5"/>
  <c r="AH185" i="5" s="1"/>
  <c r="AF257" i="5"/>
  <c r="AH257" i="5" s="1"/>
  <c r="AF557" i="5"/>
  <c r="AG557" i="5" s="1"/>
  <c r="AF261" i="5"/>
  <c r="AG261" i="5" s="1"/>
  <c r="AF123" i="5"/>
  <c r="AH123" i="5" s="1"/>
  <c r="AF445" i="5"/>
  <c r="AH445" i="5" s="1"/>
  <c r="AF209" i="5"/>
  <c r="AH209" i="5" s="1"/>
  <c r="AF478" i="5"/>
  <c r="AG478" i="5" s="1"/>
  <c r="AF267" i="5"/>
  <c r="AG267" i="5" s="1"/>
  <c r="AF432" i="5"/>
  <c r="AG432" i="5" s="1"/>
  <c r="AF434" i="5"/>
  <c r="AH434" i="5" s="1"/>
  <c r="AF473" i="5"/>
  <c r="AH473" i="5" s="1"/>
  <c r="AF522" i="5"/>
  <c r="AH522" i="5" s="1"/>
  <c r="AF435" i="5"/>
  <c r="AH435" i="5" s="1"/>
  <c r="AF214" i="5"/>
  <c r="AG214" i="5" s="1"/>
  <c r="AF450" i="5"/>
  <c r="AH450" i="5" s="1"/>
  <c r="AF313" i="5"/>
  <c r="AH313" i="5" s="1"/>
  <c r="AF189" i="5"/>
  <c r="AG189" i="5" s="1"/>
  <c r="AF265" i="5"/>
  <c r="AH265" i="5" s="1"/>
  <c r="AF132" i="5"/>
  <c r="AG132" i="5" s="1"/>
  <c r="AF269" i="5"/>
  <c r="AG269" i="5" s="1"/>
  <c r="AF197" i="5"/>
  <c r="AG197" i="5" s="1"/>
  <c r="AF475" i="5"/>
  <c r="AG475" i="5" s="1"/>
  <c r="AF219" i="5"/>
  <c r="AG219" i="5" s="1"/>
  <c r="AF119" i="5"/>
  <c r="AH119" i="5" s="1"/>
  <c r="AF295" i="5"/>
  <c r="AH295" i="5" s="1"/>
  <c r="AF433" i="5"/>
  <c r="AH433" i="5" s="1"/>
  <c r="AF448" i="5"/>
  <c r="AG448" i="5" s="1"/>
  <c r="AF487" i="5"/>
  <c r="AH487" i="5" s="1"/>
  <c r="AF357" i="5"/>
  <c r="AH357" i="5" s="1"/>
  <c r="AF517" i="5"/>
  <c r="AG517" i="5" s="1"/>
  <c r="AF532" i="5"/>
  <c r="AH532" i="5" s="1"/>
  <c r="AF546" i="5"/>
  <c r="AH546" i="5" s="1"/>
  <c r="AF503" i="5"/>
  <c r="AH503" i="5" s="1"/>
  <c r="AF547" i="5"/>
  <c r="AH547" i="5" s="1"/>
  <c r="AF356" i="5"/>
  <c r="AG356" i="5" s="1"/>
  <c r="AF270" i="5"/>
  <c r="AG270" i="5" s="1"/>
  <c r="AF152" i="5"/>
  <c r="AH152" i="5" s="1"/>
  <c r="AF131" i="5"/>
  <c r="AG131" i="5" s="1"/>
  <c r="AF218" i="5"/>
  <c r="AG218" i="5" s="1"/>
  <c r="AF309" i="5"/>
  <c r="AH309" i="5" s="1"/>
  <c r="AF177" i="5"/>
  <c r="AH177" i="5" s="1"/>
  <c r="AF306" i="5"/>
  <c r="AH306" i="5" s="1"/>
  <c r="AF263" i="5"/>
  <c r="AH263" i="5" s="1"/>
  <c r="AF136" i="5"/>
  <c r="AG136" i="5" s="1"/>
  <c r="AF266" i="5"/>
  <c r="AH266" i="5" s="1"/>
  <c r="AF180" i="5"/>
  <c r="AG180" i="5" s="1"/>
  <c r="AF344" i="5"/>
  <c r="AH344" i="5" s="1"/>
  <c r="AF342" i="5"/>
  <c r="AG342" i="5" s="1"/>
  <c r="AF536" i="5"/>
  <c r="AH536" i="5" s="1"/>
  <c r="AF373" i="5"/>
  <c r="AH373" i="5" s="1"/>
  <c r="AF401" i="5"/>
  <c r="AH401" i="5" s="1"/>
  <c r="AF111" i="5"/>
  <c r="AG111" i="5" s="1"/>
  <c r="AF23" i="5"/>
  <c r="AH23" i="5" s="1"/>
  <c r="AF157" i="5"/>
  <c r="AH157" i="5" s="1"/>
  <c r="AF140" i="5"/>
  <c r="AG140" i="5" s="1"/>
  <c r="AF226" i="5"/>
  <c r="AG226" i="5" s="1"/>
  <c r="AF322" i="5"/>
  <c r="AG322" i="5" s="1"/>
  <c r="AF181" i="5"/>
  <c r="AH181" i="5" s="1"/>
  <c r="AF317" i="5"/>
  <c r="AH317" i="5" s="1"/>
  <c r="AF286" i="5"/>
  <c r="AH286" i="5" s="1"/>
  <c r="AF153" i="5"/>
  <c r="AG153" i="5" s="1"/>
  <c r="AF292" i="5"/>
  <c r="AG292" i="5" s="1"/>
  <c r="AF184" i="5"/>
  <c r="AH184" i="5" s="1"/>
  <c r="AF366" i="5"/>
  <c r="AH366" i="5" s="1"/>
  <c r="AF346" i="5"/>
  <c r="AG346" i="5" s="1"/>
  <c r="AF336" i="5"/>
  <c r="AG336" i="5" s="1"/>
  <c r="AF423" i="5"/>
  <c r="AH423" i="5" s="1"/>
  <c r="AF497" i="5"/>
  <c r="AG497" i="5" s="1"/>
  <c r="AF420" i="5"/>
  <c r="AG420" i="5" s="1"/>
  <c r="AF407" i="5"/>
  <c r="AH407" i="5" s="1"/>
  <c r="AF393" i="5"/>
  <c r="AH393" i="5" s="1"/>
  <c r="AF456" i="5"/>
  <c r="AH456" i="5" s="1"/>
  <c r="AF398" i="5"/>
  <c r="AH398" i="5" s="1"/>
  <c r="AF428" i="5"/>
  <c r="AH428" i="5" s="1"/>
  <c r="AF529" i="5"/>
  <c r="AG529" i="5" s="1"/>
  <c r="AF409" i="5"/>
  <c r="AG409" i="5" s="1"/>
  <c r="AF333" i="5"/>
  <c r="AG333" i="5" s="1"/>
  <c r="AF486" i="5"/>
  <c r="AH486" i="5" s="1"/>
  <c r="AF369" i="5"/>
  <c r="AH369" i="5" s="1"/>
  <c r="AF382" i="5"/>
  <c r="AG382" i="5" s="1"/>
  <c r="AF504" i="5"/>
  <c r="AG504" i="5" s="1"/>
  <c r="AF417" i="5"/>
  <c r="AH417" i="5" s="1"/>
  <c r="AF542" i="5"/>
  <c r="AG542" i="5" s="1"/>
  <c r="AF431" i="5"/>
  <c r="AH431" i="5" s="1"/>
  <c r="AF530" i="5"/>
  <c r="AG530" i="5" s="1"/>
  <c r="AF462" i="5"/>
  <c r="AG462" i="5" s="1"/>
  <c r="AF368" i="5"/>
  <c r="AG368" i="5" s="1"/>
  <c r="AF506" i="5"/>
  <c r="AG506" i="5" s="1"/>
  <c r="AF437" i="5"/>
  <c r="AH437" i="5" s="1"/>
  <c r="AF387" i="5"/>
  <c r="AH387" i="5" s="1"/>
  <c r="AF537" i="5"/>
  <c r="AG537" i="5" s="1"/>
  <c r="AF430" i="5"/>
  <c r="AH430" i="5" s="1"/>
  <c r="AF19" i="5"/>
  <c r="AG19" i="5" s="1"/>
  <c r="AF446" i="5"/>
  <c r="AG446" i="5" s="1"/>
  <c r="AF550" i="5"/>
  <c r="AH550" i="5" s="1"/>
  <c r="AF483" i="5"/>
  <c r="AG483" i="5" s="1"/>
  <c r="AF415" i="5"/>
  <c r="AH415" i="5" s="1"/>
  <c r="AF524" i="5"/>
  <c r="AG524" i="5" s="1"/>
  <c r="AF545" i="5"/>
  <c r="AG545" i="5" s="1"/>
  <c r="AF406" i="5"/>
  <c r="AG406" i="5" s="1"/>
  <c r="AF349" i="5"/>
  <c r="AH349" i="5" s="1"/>
  <c r="AF458" i="5"/>
  <c r="AG458" i="5" s="1"/>
  <c r="AF533" i="5"/>
  <c r="AH533" i="5" s="1"/>
  <c r="AF551" i="5"/>
  <c r="AG551" i="5" s="1"/>
  <c r="AF414" i="5"/>
  <c r="AH414" i="5" s="1"/>
  <c r="AF361" i="5"/>
  <c r="AH361" i="5" s="1"/>
  <c r="AF461" i="5"/>
  <c r="AG461" i="5" s="1"/>
  <c r="AF543" i="5"/>
  <c r="AH543" i="5" s="1"/>
  <c r="AF330" i="5"/>
  <c r="AH330" i="5" s="1"/>
  <c r="AF422" i="5"/>
  <c r="AG422" i="5" s="1"/>
  <c r="AF376" i="5"/>
  <c r="AH376" i="5" s="1"/>
  <c r="AF479" i="5"/>
  <c r="AH479" i="5" s="1"/>
  <c r="AF384" i="5"/>
  <c r="AH384" i="5" s="1"/>
  <c r="AF474" i="5"/>
  <c r="AH474" i="5" s="1"/>
  <c r="AF358" i="5"/>
  <c r="AH358" i="5" s="1"/>
  <c r="AF523" i="5"/>
  <c r="AH523" i="5" s="1"/>
  <c r="AF442" i="5"/>
  <c r="AH442" i="5" s="1"/>
  <c r="AF553" i="5"/>
  <c r="AH553" i="5" s="1"/>
  <c r="AF338" i="5"/>
  <c r="AG338" i="5" s="1"/>
  <c r="AF482" i="5"/>
  <c r="AG482" i="5" s="1"/>
  <c r="AF379" i="5"/>
  <c r="AH379" i="5" s="1"/>
  <c r="B33" i="5"/>
  <c r="B65" i="5"/>
  <c r="Z7" i="5"/>
  <c r="AG507" i="5"/>
  <c r="AH507" i="5"/>
  <c r="B172" i="3"/>
  <c r="G87" i="2"/>
  <c r="Q11" i="5"/>
  <c r="G86" i="2"/>
  <c r="B94" i="3"/>
  <c r="I46" i="2" s="1"/>
  <c r="B93" i="3"/>
  <c r="I45" i="2" s="1"/>
  <c r="B57" i="3"/>
  <c r="E89" i="3" s="1"/>
  <c r="B59" i="3"/>
  <c r="B95" i="3"/>
  <c r="I47" i="2" s="1"/>
  <c r="I33" i="2"/>
  <c r="E90" i="3"/>
  <c r="N85" i="4"/>
  <c r="N21" i="4"/>
  <c r="N48" i="4"/>
  <c r="N42" i="4"/>
  <c r="K80" i="4"/>
  <c r="L80" i="4" s="1"/>
  <c r="M80" i="4" s="1"/>
  <c r="N80" i="4" s="1"/>
  <c r="N46" i="4"/>
  <c r="K26" i="4"/>
  <c r="L26" i="4" s="1"/>
  <c r="M26" i="4" s="1"/>
  <c r="N26" i="4" s="1"/>
  <c r="N53" i="4"/>
  <c r="N13" i="4"/>
  <c r="K76" i="4"/>
  <c r="L76" i="4" s="1"/>
  <c r="M76" i="4" s="1"/>
  <c r="N76" i="4" s="1"/>
  <c r="K52" i="4"/>
  <c r="L52" i="4" s="1"/>
  <c r="M52" i="4" s="1"/>
  <c r="N52" i="4" s="1"/>
  <c r="K14" i="4"/>
  <c r="L14" i="4" s="1"/>
  <c r="M14" i="4" s="1"/>
  <c r="N14" i="4" s="1"/>
  <c r="K10" i="4"/>
  <c r="L10" i="4" s="1"/>
  <c r="M10" i="4" s="1"/>
  <c r="N10" i="4" s="1"/>
  <c r="K57" i="4"/>
  <c r="L57" i="4" s="1"/>
  <c r="M57" i="4" s="1"/>
  <c r="N57" i="4" s="1"/>
  <c r="K5" i="4"/>
  <c r="L5" i="4" s="1"/>
  <c r="M5" i="4" s="1"/>
  <c r="N5" i="4" s="1"/>
  <c r="K99" i="4"/>
  <c r="L99" i="4" s="1"/>
  <c r="M99" i="4" s="1"/>
  <c r="N99" i="4" s="1"/>
  <c r="K39" i="4"/>
  <c r="L39" i="4" s="1"/>
  <c r="M39" i="4" s="1"/>
  <c r="N39" i="4" s="1"/>
  <c r="K17" i="4"/>
  <c r="L17" i="4" s="1"/>
  <c r="M17" i="4" s="1"/>
  <c r="N17" i="4" s="1"/>
  <c r="K70" i="4"/>
  <c r="L70" i="4" s="1"/>
  <c r="M70" i="4" s="1"/>
  <c r="N70" i="4" s="1"/>
  <c r="K36" i="4"/>
  <c r="L36" i="4" s="1"/>
  <c r="M36" i="4" s="1"/>
  <c r="N36" i="4" s="1"/>
  <c r="K37" i="4"/>
  <c r="L37" i="4" s="1"/>
  <c r="M37" i="4" s="1"/>
  <c r="N37" i="4" s="1"/>
  <c r="N79" i="4"/>
  <c r="K28" i="4"/>
  <c r="L28" i="4" s="1"/>
  <c r="M28" i="4" s="1"/>
  <c r="N28" i="4" s="1"/>
  <c r="K82" i="4"/>
  <c r="L82" i="4" s="1"/>
  <c r="M82" i="4" s="1"/>
  <c r="N82" i="4" s="1"/>
  <c r="N102" i="4"/>
  <c r="K7" i="4"/>
  <c r="L7" i="4" s="1"/>
  <c r="M7" i="4" s="1"/>
  <c r="N7" i="4" s="1"/>
  <c r="N96" i="4"/>
  <c r="K8" i="4"/>
  <c r="L8" i="4" s="1"/>
  <c r="M8" i="4" s="1"/>
  <c r="N8" i="4" s="1"/>
  <c r="K35" i="4"/>
  <c r="L35" i="4" s="1"/>
  <c r="M35" i="4" s="1"/>
  <c r="N35" i="4" s="1"/>
  <c r="K63" i="4"/>
  <c r="L63" i="4" s="1"/>
  <c r="M63" i="4" s="1"/>
  <c r="N63" i="4" s="1"/>
  <c r="N73" i="4"/>
  <c r="K18" i="4"/>
  <c r="L18" i="4" s="1"/>
  <c r="M18" i="4" s="1"/>
  <c r="N18" i="4" s="1"/>
  <c r="K91" i="4"/>
  <c r="L91" i="4" s="1"/>
  <c r="M91" i="4" s="1"/>
  <c r="N91" i="4" s="1"/>
  <c r="N67" i="4"/>
  <c r="N78" i="4"/>
  <c r="K33" i="4"/>
  <c r="L33" i="4" s="1"/>
  <c r="M33" i="4" s="1"/>
  <c r="N33" i="4" s="1"/>
  <c r="K92" i="4"/>
  <c r="L92" i="4" s="1"/>
  <c r="M92" i="4" s="1"/>
  <c r="N92" i="4" s="1"/>
  <c r="K49" i="4"/>
  <c r="L49" i="4" s="1"/>
  <c r="M49" i="4" s="1"/>
  <c r="N49" i="4" s="1"/>
  <c r="K38" i="4"/>
  <c r="L38" i="4" s="1"/>
  <c r="M38" i="4" s="1"/>
  <c r="N38" i="4" s="1"/>
  <c r="K68" i="4"/>
  <c r="L68" i="4" s="1"/>
  <c r="M68" i="4" s="1"/>
  <c r="N68" i="4" s="1"/>
  <c r="N25" i="4"/>
  <c r="K30" i="4"/>
  <c r="L30" i="4" s="1"/>
  <c r="M30" i="4" s="1"/>
  <c r="N30" i="4" s="1"/>
  <c r="K88" i="4"/>
  <c r="L88" i="4" s="1"/>
  <c r="M88" i="4" s="1"/>
  <c r="N88" i="4" s="1"/>
  <c r="N86" i="4"/>
  <c r="K44" i="4"/>
  <c r="L44" i="4" s="1"/>
  <c r="M44" i="4" s="1"/>
  <c r="N44" i="4" s="1"/>
  <c r="N101" i="4"/>
  <c r="K66" i="4"/>
  <c r="L66" i="4" s="1"/>
  <c r="M66" i="4" s="1"/>
  <c r="N66" i="4" s="1"/>
  <c r="K29" i="4"/>
  <c r="L29" i="4" s="1"/>
  <c r="M29" i="4" s="1"/>
  <c r="N29" i="4" s="1"/>
  <c r="K90" i="4"/>
  <c r="L90" i="4" s="1"/>
  <c r="M90" i="4" s="1"/>
  <c r="N90" i="4" s="1"/>
  <c r="K100" i="4"/>
  <c r="L100" i="4" s="1"/>
  <c r="M100" i="4" s="1"/>
  <c r="N100" i="4" s="1"/>
  <c r="K72" i="4"/>
  <c r="L72" i="4" s="1"/>
  <c r="M72" i="4" s="1"/>
  <c r="N72" i="4" s="1"/>
  <c r="AO10" i="8" l="1"/>
  <c r="AO25" i="8"/>
  <c r="AO49" i="8"/>
  <c r="AO90" i="8"/>
  <c r="AO20" i="8"/>
  <c r="AO141" i="8"/>
  <c r="AO59" i="8"/>
  <c r="AO18" i="8"/>
  <c r="AO54" i="8"/>
  <c r="AI10" i="6"/>
  <c r="Z11" i="5"/>
  <c r="AP29" i="6"/>
  <c r="Z66" i="6"/>
  <c r="AK66" i="6" s="1"/>
  <c r="AL66" i="6" s="1"/>
  <c r="AA55" i="6"/>
  <c r="AC55" i="6" s="1"/>
  <c r="AD55" i="6" s="1"/>
  <c r="AA66" i="6"/>
  <c r="AQ66" i="6" s="1"/>
  <c r="Z55" i="6"/>
  <c r="AN55" i="6" s="1"/>
  <c r="AC30" i="6"/>
  <c r="AD30" i="6" s="1"/>
  <c r="Z61" i="6"/>
  <c r="AF61" i="6" s="1"/>
  <c r="AG61" i="6" s="1"/>
  <c r="AA58" i="6"/>
  <c r="AC58" i="6" s="1"/>
  <c r="AD58" i="6" s="1"/>
  <c r="Z38" i="6"/>
  <c r="AF38" i="6" s="1"/>
  <c r="AG38" i="6" s="1"/>
  <c r="Z152" i="6"/>
  <c r="AK152" i="6" s="1"/>
  <c r="AL152" i="6" s="1"/>
  <c r="AA38" i="6"/>
  <c r="AC38" i="6" s="1"/>
  <c r="AD38" i="6" s="1"/>
  <c r="AF21" i="6"/>
  <c r="AG21" i="6" s="1"/>
  <c r="AA70" i="6"/>
  <c r="AP70" i="6" s="1"/>
  <c r="AN13" i="6"/>
  <c r="AA134" i="6"/>
  <c r="AQ134" i="6" s="1"/>
  <c r="Z134" i="6"/>
  <c r="AF134" i="6" s="1"/>
  <c r="AG134" i="6" s="1"/>
  <c r="AI134" i="6" s="1"/>
  <c r="AF27" i="6"/>
  <c r="AG27" i="6" s="1"/>
  <c r="AI27" i="6" s="1"/>
  <c r="AK101" i="8"/>
  <c r="AL101" i="8" s="1"/>
  <c r="AO101" i="8" s="1"/>
  <c r="AK113" i="8"/>
  <c r="AL113" i="8" s="1"/>
  <c r="AO113" i="8" s="1"/>
  <c r="AK69" i="8"/>
  <c r="AL69" i="8" s="1"/>
  <c r="AO69" i="8" s="1"/>
  <c r="AQ86" i="8"/>
  <c r="AP149" i="8"/>
  <c r="AK12" i="8"/>
  <c r="AL12" i="8" s="1"/>
  <c r="AO12" i="8" s="1"/>
  <c r="AC92" i="8"/>
  <c r="AD92" i="8" s="1"/>
  <c r="AQ49" i="8"/>
  <c r="AC19" i="8"/>
  <c r="AD19" i="8" s="1"/>
  <c r="AF150" i="8"/>
  <c r="AG150" i="8" s="1"/>
  <c r="AK75" i="8"/>
  <c r="AL75" i="8" s="1"/>
  <c r="AO75" i="8" s="1"/>
  <c r="AJ69" i="8"/>
  <c r="AC152" i="8"/>
  <c r="AD152" i="8" s="1"/>
  <c r="AK9" i="8"/>
  <c r="AL9" i="8" s="1"/>
  <c r="AO9" i="8" s="1"/>
  <c r="AK84" i="8"/>
  <c r="AL84" i="8" s="1"/>
  <c r="AO84" i="8" s="1"/>
  <c r="AA153" i="8"/>
  <c r="AQ153" i="8" s="1"/>
  <c r="AA157" i="6"/>
  <c r="AP157" i="6" s="1"/>
  <c r="AA112" i="6"/>
  <c r="AQ112" i="6" s="1"/>
  <c r="AA128" i="6"/>
  <c r="AC128" i="6" s="1"/>
  <c r="AD128" i="6" s="1"/>
  <c r="AC143" i="8"/>
  <c r="AD143" i="8" s="1"/>
  <c r="AP152" i="8"/>
  <c r="AP120" i="8"/>
  <c r="Z112" i="6"/>
  <c r="AK112" i="6" s="1"/>
  <c r="AL112" i="6" s="1"/>
  <c r="Z137" i="6"/>
  <c r="AF137" i="6" s="1"/>
  <c r="AG137" i="6" s="1"/>
  <c r="AI137" i="6" s="1"/>
  <c r="Z64" i="6"/>
  <c r="AK64" i="6" s="1"/>
  <c r="AL64" i="6" s="1"/>
  <c r="AP143" i="8"/>
  <c r="AK37" i="8"/>
  <c r="AL37" i="8" s="1"/>
  <c r="AK133" i="8"/>
  <c r="AL133" i="8" s="1"/>
  <c r="AC120" i="8"/>
  <c r="AD120" i="8" s="1"/>
  <c r="AA126" i="8"/>
  <c r="AC126" i="8" s="1"/>
  <c r="AD126" i="8" s="1"/>
  <c r="AP34" i="6"/>
  <c r="AK149" i="8"/>
  <c r="AL149" i="8" s="1"/>
  <c r="AO149" i="8" s="1"/>
  <c r="AJ59" i="8"/>
  <c r="Z153" i="8"/>
  <c r="AP91" i="6"/>
  <c r="AA83" i="6"/>
  <c r="AC83" i="6" s="1"/>
  <c r="AD83" i="6" s="1"/>
  <c r="AP67" i="8"/>
  <c r="AK46" i="8"/>
  <c r="AL46" i="8" s="1"/>
  <c r="AO46" i="8" s="1"/>
  <c r="AF8" i="8"/>
  <c r="AG8" i="8" s="1"/>
  <c r="AI8" i="8" s="1"/>
  <c r="AU8" i="8" s="1"/>
  <c r="AW8" i="8" s="1"/>
  <c r="AF113" i="8"/>
  <c r="AG113" i="8" s="1"/>
  <c r="AI113" i="8" s="1"/>
  <c r="Z128" i="6"/>
  <c r="AF128" i="6" s="1"/>
  <c r="AG128" i="6" s="1"/>
  <c r="AI128" i="6" s="1"/>
  <c r="AQ67" i="8"/>
  <c r="AP24" i="8"/>
  <c r="AF120" i="8"/>
  <c r="AG120" i="8" s="1"/>
  <c r="AA137" i="6"/>
  <c r="AC137" i="6" s="1"/>
  <c r="AD137" i="6" s="1"/>
  <c r="Z157" i="6"/>
  <c r="AK157" i="6" s="1"/>
  <c r="AL157" i="6" s="1"/>
  <c r="Z83" i="6"/>
  <c r="AF83" i="6" s="1"/>
  <c r="AG83" i="6" s="1"/>
  <c r="AI83" i="6" s="1"/>
  <c r="AC84" i="8"/>
  <c r="AD84" i="8" s="1"/>
  <c r="AC52" i="8"/>
  <c r="AD52" i="8" s="1"/>
  <c r="AK120" i="8"/>
  <c r="AL120" i="8" s="1"/>
  <c r="AO120" i="8" s="1"/>
  <c r="AQ24" i="8"/>
  <c r="Z126" i="8"/>
  <c r="AN126" i="8" s="1"/>
  <c r="AA110" i="8"/>
  <c r="AP110" i="8" s="1"/>
  <c r="AF14" i="8"/>
  <c r="AG14" i="8" s="1"/>
  <c r="AI14" i="8" s="1"/>
  <c r="AA108" i="8"/>
  <c r="AK48" i="8"/>
  <c r="AL48" i="8" s="1"/>
  <c r="AO48" i="8" s="1"/>
  <c r="AA62" i="8"/>
  <c r="AP62" i="8" s="1"/>
  <c r="AK21" i="8"/>
  <c r="AL21" i="8" s="1"/>
  <c r="AO21" i="8" s="1"/>
  <c r="AN26" i="6"/>
  <c r="AK144" i="8"/>
  <c r="AL144" i="8" s="1"/>
  <c r="AO144" i="8" s="1"/>
  <c r="Z62" i="8"/>
  <c r="AK62" i="8" s="1"/>
  <c r="AL62" i="8" s="1"/>
  <c r="AP48" i="8"/>
  <c r="AZ11" i="5"/>
  <c r="AK154" i="8"/>
  <c r="AL154" i="8" s="1"/>
  <c r="AK140" i="8"/>
  <c r="AL140" i="8" s="1"/>
  <c r="AO140" i="8" s="1"/>
  <c r="AK19" i="8"/>
  <c r="AL19" i="8" s="1"/>
  <c r="AO19" i="8" s="1"/>
  <c r="AQ149" i="8"/>
  <c r="AA22" i="8"/>
  <c r="AF21" i="8"/>
  <c r="AG21" i="8" s="1"/>
  <c r="AF48" i="8"/>
  <c r="AG48" i="8" s="1"/>
  <c r="AI48" i="8" s="1"/>
  <c r="AQ48" i="8"/>
  <c r="Z121" i="8"/>
  <c r="AK121" i="8" s="1"/>
  <c r="AL121" i="8" s="1"/>
  <c r="AK143" i="8"/>
  <c r="AL143" i="8" s="1"/>
  <c r="AO143" i="8" s="1"/>
  <c r="AQ123" i="8"/>
  <c r="Z22" i="8"/>
  <c r="AN22" i="8" s="1"/>
  <c r="AQ76" i="8"/>
  <c r="AC123" i="8"/>
  <c r="AD123" i="8" s="1"/>
  <c r="AA104" i="8"/>
  <c r="AC104" i="8" s="1"/>
  <c r="AD104" i="8" s="1"/>
  <c r="AK77" i="8"/>
  <c r="AL77" i="8" s="1"/>
  <c r="AO77" i="8" s="1"/>
  <c r="Z108" i="8"/>
  <c r="AK108" i="8" s="1"/>
  <c r="AL108" i="8" s="1"/>
  <c r="AC10" i="8"/>
  <c r="AD10" i="8" s="1"/>
  <c r="AP76" i="8"/>
  <c r="AA121" i="8"/>
  <c r="AP121" i="8" s="1"/>
  <c r="AF101" i="8"/>
  <c r="AG101" i="8" s="1"/>
  <c r="Z110" i="8"/>
  <c r="AI66" i="8"/>
  <c r="AU66" i="8" s="1"/>
  <c r="AW66" i="8" s="1"/>
  <c r="AP10" i="8"/>
  <c r="AJ9" i="8"/>
  <c r="AC131" i="8"/>
  <c r="AD131" i="8" s="1"/>
  <c r="AJ84" i="8"/>
  <c r="AC46" i="8"/>
  <c r="AD46" i="8" s="1"/>
  <c r="AF77" i="8"/>
  <c r="AG77" i="8" s="1"/>
  <c r="AK150" i="8"/>
  <c r="AL150" i="8" s="1"/>
  <c r="AO150" i="8" s="1"/>
  <c r="AP12" i="8"/>
  <c r="AK68" i="8"/>
  <c r="AL68" i="8" s="1"/>
  <c r="AO68" i="8" s="1"/>
  <c r="AA49" i="6"/>
  <c r="AP49" i="6" s="1"/>
  <c r="AK14" i="8"/>
  <c r="AL14" i="8" s="1"/>
  <c r="AO14" i="8" s="1"/>
  <c r="AP86" i="8"/>
  <c r="AK142" i="8"/>
  <c r="AL142" i="8" s="1"/>
  <c r="AO142" i="8" s="1"/>
  <c r="BB11" i="5"/>
  <c r="AF25" i="8"/>
  <c r="AG25" i="8" s="1"/>
  <c r="AI25" i="8" s="1"/>
  <c r="AP14" i="8"/>
  <c r="AJ68" i="8"/>
  <c r="AC77" i="8"/>
  <c r="AD77" i="8" s="1"/>
  <c r="AQ14" i="8"/>
  <c r="AP77" i="8"/>
  <c r="AK89" i="8"/>
  <c r="AL89" i="8" s="1"/>
  <c r="AO89" i="8" s="1"/>
  <c r="Z104" i="8"/>
  <c r="AC21" i="8"/>
  <c r="AD21" i="8" s="1"/>
  <c r="AF68" i="8"/>
  <c r="AG68" i="8" s="1"/>
  <c r="AI68" i="8" s="1"/>
  <c r="AA110" i="6"/>
  <c r="AQ110" i="6" s="1"/>
  <c r="AP21" i="8"/>
  <c r="AA62" i="6"/>
  <c r="AQ62" i="6" s="1"/>
  <c r="Z49" i="6"/>
  <c r="AK49" i="6" s="1"/>
  <c r="AL49" i="6" s="1"/>
  <c r="AP68" i="8"/>
  <c r="Z62" i="6"/>
  <c r="AF62" i="6" s="1"/>
  <c r="AG62" i="6" s="1"/>
  <c r="AI62" i="6" s="1"/>
  <c r="AF142" i="8"/>
  <c r="AG142" i="8" s="1"/>
  <c r="AJ14" i="8"/>
  <c r="Z73" i="8"/>
  <c r="AK73" i="8" s="1"/>
  <c r="AL73" i="8" s="1"/>
  <c r="AP59" i="8"/>
  <c r="AF149" i="8"/>
  <c r="AG149" i="8" s="1"/>
  <c r="AI149" i="8" s="1"/>
  <c r="AQ59" i="8"/>
  <c r="AA73" i="8"/>
  <c r="AC73" i="8" s="1"/>
  <c r="AD73" i="8" s="1"/>
  <c r="AQ25" i="8"/>
  <c r="AQ69" i="8"/>
  <c r="AC25" i="8"/>
  <c r="AD25" i="8" s="1"/>
  <c r="AC69" i="8"/>
  <c r="AD69" i="8" s="1"/>
  <c r="AF105" i="8"/>
  <c r="AG105" i="8" s="1"/>
  <c r="AI105" i="8" s="1"/>
  <c r="AP93" i="8"/>
  <c r="AK105" i="8"/>
  <c r="AL105" i="8" s="1"/>
  <c r="AO105" i="8" s="1"/>
  <c r="AI67" i="8"/>
  <c r="AK86" i="8"/>
  <c r="AL86" i="8" s="1"/>
  <c r="AO86" i="8" s="1"/>
  <c r="AC78" i="8"/>
  <c r="AD78" i="8" s="1"/>
  <c r="AP89" i="8"/>
  <c r="Z115" i="8"/>
  <c r="AK115" i="8" s="1"/>
  <c r="AL115" i="8" s="1"/>
  <c r="AC89" i="8"/>
  <c r="AD89" i="8" s="1"/>
  <c r="AF86" i="8"/>
  <c r="AG86" i="8" s="1"/>
  <c r="AI86" i="8" s="1"/>
  <c r="AA115" i="8"/>
  <c r="AP115" i="8" s="1"/>
  <c r="AN23" i="6"/>
  <c r="AQ33" i="6"/>
  <c r="AA114" i="6"/>
  <c r="AQ114" i="6" s="1"/>
  <c r="AA99" i="6"/>
  <c r="AQ99" i="6" s="1"/>
  <c r="Z97" i="6"/>
  <c r="AF97" i="6" s="1"/>
  <c r="AG97" i="6" s="1"/>
  <c r="AI97" i="6" s="1"/>
  <c r="AC33" i="6"/>
  <c r="AD33" i="6" s="1"/>
  <c r="AA116" i="6"/>
  <c r="AP116" i="6" s="1"/>
  <c r="Z140" i="6"/>
  <c r="AK140" i="6" s="1"/>
  <c r="AL140" i="6" s="1"/>
  <c r="AA97" i="6"/>
  <c r="AP97" i="6" s="1"/>
  <c r="Z146" i="6"/>
  <c r="AK146" i="6" s="1"/>
  <c r="AL146" i="6" s="1"/>
  <c r="AF30" i="6"/>
  <c r="AG30" i="6" s="1"/>
  <c r="AI30" i="6" s="1"/>
  <c r="Z116" i="6"/>
  <c r="AF116" i="6" s="1"/>
  <c r="AG116" i="6" s="1"/>
  <c r="AI116" i="6" s="1"/>
  <c r="Z99" i="6"/>
  <c r="AN99" i="6" s="1"/>
  <c r="AA140" i="6"/>
  <c r="AQ140" i="6" s="1"/>
  <c r="AA37" i="6"/>
  <c r="AP37" i="6" s="1"/>
  <c r="Z37" i="6"/>
  <c r="AK37" i="6" s="1"/>
  <c r="AL37" i="6" s="1"/>
  <c r="AA28" i="8"/>
  <c r="Z28" i="8"/>
  <c r="AN28" i="8" s="1"/>
  <c r="AP142" i="8"/>
  <c r="AQ142" i="8"/>
  <c r="AA73" i="6"/>
  <c r="AC73" i="6" s="1"/>
  <c r="AD73" i="6" s="1"/>
  <c r="AN14" i="6"/>
  <c r="Z73" i="6"/>
  <c r="AF73" i="6" s="1"/>
  <c r="AG73" i="6" s="1"/>
  <c r="AI73" i="6" s="1"/>
  <c r="AI75" i="8"/>
  <c r="AK11" i="5"/>
  <c r="AN25" i="6"/>
  <c r="Z52" i="6"/>
  <c r="AK52" i="6" s="1"/>
  <c r="AL52" i="6" s="1"/>
  <c r="AA129" i="6"/>
  <c r="AQ129" i="6" s="1"/>
  <c r="AI44" i="8"/>
  <c r="AU44" i="8" s="1"/>
  <c r="AW44" i="8" s="1"/>
  <c r="AI33" i="6"/>
  <c r="AI109" i="6"/>
  <c r="AG229" i="5"/>
  <c r="AG31" i="5"/>
  <c r="AF65" i="6"/>
  <c r="AG65" i="6" s="1"/>
  <c r="AI65" i="6" s="1"/>
  <c r="AA88" i="6"/>
  <c r="AC88" i="6" s="1"/>
  <c r="AD88" i="6" s="1"/>
  <c r="AA52" i="6"/>
  <c r="AQ52" i="6" s="1"/>
  <c r="Z88" i="6"/>
  <c r="AK88" i="6" s="1"/>
  <c r="AL88" i="6" s="1"/>
  <c r="Z129" i="6"/>
  <c r="AN129" i="6" s="1"/>
  <c r="AF157" i="8"/>
  <c r="AG157" i="8" s="1"/>
  <c r="AI157" i="8" s="1"/>
  <c r="AI8" i="6"/>
  <c r="AI107" i="6"/>
  <c r="Z70" i="6"/>
  <c r="AN70" i="6" s="1"/>
  <c r="AK157" i="8"/>
  <c r="AL157" i="8" s="1"/>
  <c r="AO157" i="8" s="1"/>
  <c r="AN19" i="6"/>
  <c r="AI81" i="6"/>
  <c r="AA90" i="6"/>
  <c r="AQ90" i="6" s="1"/>
  <c r="Z90" i="6"/>
  <c r="AN90" i="6" s="1"/>
  <c r="AH516" i="5"/>
  <c r="AI106" i="6"/>
  <c r="AI104" i="6"/>
  <c r="AI92" i="6"/>
  <c r="AA152" i="6"/>
  <c r="AC152" i="6" s="1"/>
  <c r="AD152" i="6" s="1"/>
  <c r="Z46" i="6"/>
  <c r="AK46" i="6" s="1"/>
  <c r="AL46" i="6" s="1"/>
  <c r="Z145" i="6"/>
  <c r="AF145" i="6" s="1"/>
  <c r="AG145" i="6" s="1"/>
  <c r="AI145" i="6" s="1"/>
  <c r="AA56" i="6"/>
  <c r="AC56" i="6" s="1"/>
  <c r="AD56" i="6" s="1"/>
  <c r="AI32" i="6"/>
  <c r="AA115" i="6"/>
  <c r="AC115" i="6" s="1"/>
  <c r="AD115" i="6" s="1"/>
  <c r="Z115" i="6"/>
  <c r="AN115" i="6" s="1"/>
  <c r="AI118" i="8"/>
  <c r="AU118" i="8" s="1"/>
  <c r="AW118" i="8" s="1"/>
  <c r="AI69" i="8"/>
  <c r="AI142" i="6"/>
  <c r="AI148" i="6"/>
  <c r="Z100" i="6"/>
  <c r="AK100" i="6" s="1"/>
  <c r="AL100" i="6" s="1"/>
  <c r="AF9" i="6"/>
  <c r="AG9" i="6" s="1"/>
  <c r="AI9" i="6" s="1"/>
  <c r="AA46" i="6"/>
  <c r="AQ46" i="6" s="1"/>
  <c r="AA100" i="6"/>
  <c r="AP100" i="6" s="1"/>
  <c r="AA145" i="6"/>
  <c r="AP145" i="6" s="1"/>
  <c r="AI76" i="8"/>
  <c r="AA64" i="6"/>
  <c r="AQ64" i="6" s="1"/>
  <c r="Z86" i="6"/>
  <c r="AN86" i="6" s="1"/>
  <c r="AA86" i="6"/>
  <c r="AC86" i="6" s="1"/>
  <c r="AD86" i="6" s="1"/>
  <c r="Z56" i="6"/>
  <c r="AF56" i="6" s="1"/>
  <c r="AG56" i="6" s="1"/>
  <c r="AI56" i="6" s="1"/>
  <c r="AI103" i="8"/>
  <c r="AU103" i="8" s="1"/>
  <c r="AW103" i="8" s="1"/>
  <c r="AK78" i="8"/>
  <c r="AL78" i="8" s="1"/>
  <c r="AO78" i="8" s="1"/>
  <c r="AW11" i="5"/>
  <c r="AT11" i="5"/>
  <c r="AI155" i="8"/>
  <c r="AU155" i="8" s="1"/>
  <c r="AW155" i="8" s="1"/>
  <c r="AI61" i="6"/>
  <c r="AA121" i="6"/>
  <c r="AC121" i="6" s="1"/>
  <c r="AD121" i="6" s="1"/>
  <c r="Z150" i="6"/>
  <c r="AK150" i="6" s="1"/>
  <c r="AL150" i="6" s="1"/>
  <c r="AF78" i="8"/>
  <c r="AG78" i="8" s="1"/>
  <c r="AI78" i="8" s="1"/>
  <c r="AI17" i="6"/>
  <c r="AI13" i="6"/>
  <c r="AA43" i="6"/>
  <c r="AC43" i="6" s="1"/>
  <c r="AD43" i="6" s="1"/>
  <c r="Z57" i="6"/>
  <c r="AK57" i="6" s="1"/>
  <c r="AL57" i="6" s="1"/>
  <c r="AP157" i="8"/>
  <c r="AI32" i="8"/>
  <c r="AU32" i="8" s="1"/>
  <c r="AW32" i="8" s="1"/>
  <c r="AF22" i="6"/>
  <c r="AG22" i="6" s="1"/>
  <c r="AI22" i="6" s="1"/>
  <c r="AF34" i="6"/>
  <c r="AG34" i="6" s="1"/>
  <c r="AI34" i="6" s="1"/>
  <c r="AA57" i="6"/>
  <c r="AP57" i="6" s="1"/>
  <c r="Z121" i="6"/>
  <c r="AF121" i="6" s="1"/>
  <c r="AG121" i="6" s="1"/>
  <c r="AI121" i="6" s="1"/>
  <c r="AP39" i="8"/>
  <c r="AQ157" i="8"/>
  <c r="AA150" i="6"/>
  <c r="AP150" i="6" s="1"/>
  <c r="AQ39" i="8"/>
  <c r="AK96" i="8"/>
  <c r="AL96" i="8" s="1"/>
  <c r="AO96" i="8" s="1"/>
  <c r="Z43" i="6"/>
  <c r="AF43" i="6" s="1"/>
  <c r="AG43" i="6" s="1"/>
  <c r="AI43" i="6" s="1"/>
  <c r="Z85" i="6"/>
  <c r="AN85" i="6" s="1"/>
  <c r="AI55" i="8"/>
  <c r="AU55" i="8" s="1"/>
  <c r="AW55" i="8" s="1"/>
  <c r="AN72" i="6"/>
  <c r="AO72" i="6" s="1"/>
  <c r="AF12" i="6"/>
  <c r="AG12" i="6" s="1"/>
  <c r="AI12" i="6" s="1"/>
  <c r="AF72" i="6"/>
  <c r="AG72" i="6" s="1"/>
  <c r="AI72" i="6" s="1"/>
  <c r="AI144" i="8"/>
  <c r="AQ34" i="6"/>
  <c r="AI27" i="8"/>
  <c r="AU27" i="8" s="1"/>
  <c r="AW27" i="8" s="1"/>
  <c r="AI12" i="8"/>
  <c r="Z114" i="6"/>
  <c r="AN114" i="6" s="1"/>
  <c r="AA85" i="6"/>
  <c r="AC85" i="6" s="1"/>
  <c r="AD85" i="6" s="1"/>
  <c r="AI100" i="8"/>
  <c r="AU100" i="8" s="1"/>
  <c r="AW100" i="8" s="1"/>
  <c r="Z87" i="6"/>
  <c r="AK87" i="6" s="1"/>
  <c r="AL87" i="6" s="1"/>
  <c r="AA155" i="6"/>
  <c r="AC155" i="6" s="1"/>
  <c r="AD155" i="6" s="1"/>
  <c r="Z78" i="6"/>
  <c r="AF78" i="6" s="1"/>
  <c r="AG78" i="6" s="1"/>
  <c r="AI78" i="6" s="1"/>
  <c r="AA105" i="6"/>
  <c r="AC105" i="6" s="1"/>
  <c r="AD105" i="6" s="1"/>
  <c r="AI141" i="8"/>
  <c r="AQ30" i="6"/>
  <c r="AA87" i="6"/>
  <c r="AP87" i="6" s="1"/>
  <c r="AI122" i="6"/>
  <c r="Z149" i="6"/>
  <c r="AF149" i="6" s="1"/>
  <c r="AG149" i="6" s="1"/>
  <c r="AI149" i="6" s="1"/>
  <c r="AF102" i="8"/>
  <c r="AG102" i="8" s="1"/>
  <c r="AI102" i="8" s="1"/>
  <c r="AF93" i="6"/>
  <c r="AG93" i="6" s="1"/>
  <c r="AI93" i="6" s="1"/>
  <c r="AQ29" i="6"/>
  <c r="AA78" i="6"/>
  <c r="AP78" i="6" s="1"/>
  <c r="AA149" i="6"/>
  <c r="AQ149" i="6" s="1"/>
  <c r="Z105" i="6"/>
  <c r="AF105" i="6" s="1"/>
  <c r="AG105" i="6" s="1"/>
  <c r="AI105" i="6" s="1"/>
  <c r="AI77" i="8"/>
  <c r="AN120" i="6"/>
  <c r="AK65" i="6"/>
  <c r="AL65" i="6" s="1"/>
  <c r="AO65" i="6" s="1"/>
  <c r="Z117" i="6"/>
  <c r="AF117" i="6" s="1"/>
  <c r="AG117" i="6" s="1"/>
  <c r="AI117" i="6" s="1"/>
  <c r="Z119" i="6"/>
  <c r="AF119" i="6" s="1"/>
  <c r="AG119" i="6" s="1"/>
  <c r="AI119" i="6" s="1"/>
  <c r="AA130" i="6"/>
  <c r="AP130" i="6" s="1"/>
  <c r="AI19" i="6"/>
  <c r="Z130" i="6"/>
  <c r="AK130" i="6" s="1"/>
  <c r="AL130" i="6" s="1"/>
  <c r="AA117" i="6"/>
  <c r="AC117" i="6" s="1"/>
  <c r="AD117" i="6" s="1"/>
  <c r="AA119" i="6"/>
  <c r="AP119" i="6" s="1"/>
  <c r="Z41" i="6"/>
  <c r="AF41" i="6" s="1"/>
  <c r="AG41" i="6" s="1"/>
  <c r="AI41" i="6" s="1"/>
  <c r="AI38" i="6"/>
  <c r="AI24" i="6"/>
  <c r="AI29" i="6"/>
  <c r="Z79" i="6"/>
  <c r="AF79" i="6" s="1"/>
  <c r="AG79" i="6" s="1"/>
  <c r="AI79" i="6" s="1"/>
  <c r="AA50" i="6"/>
  <c r="AC50" i="6" s="1"/>
  <c r="AD50" i="6" s="1"/>
  <c r="AA79" i="6"/>
  <c r="AC79" i="6" s="1"/>
  <c r="AD79" i="6" s="1"/>
  <c r="AC35" i="6"/>
  <c r="AD35" i="6" s="1"/>
  <c r="Z102" i="6"/>
  <c r="AK102" i="6" s="1"/>
  <c r="AL102" i="6" s="1"/>
  <c r="Z50" i="6"/>
  <c r="AF50" i="6" s="1"/>
  <c r="AG50" i="6" s="1"/>
  <c r="AI50" i="6" s="1"/>
  <c r="AP35" i="6"/>
  <c r="AN29" i="6"/>
  <c r="AA102" i="6"/>
  <c r="AQ102" i="6" s="1"/>
  <c r="AA54" i="6"/>
  <c r="AP54" i="6" s="1"/>
  <c r="AI21" i="6"/>
  <c r="AH11" i="5"/>
  <c r="AH54" i="5"/>
  <c r="Z139" i="6"/>
  <c r="AK139" i="6" s="1"/>
  <c r="AL139" i="6" s="1"/>
  <c r="Z96" i="6"/>
  <c r="AN96" i="6" s="1"/>
  <c r="AI20" i="6"/>
  <c r="AI25" i="6"/>
  <c r="AA96" i="6"/>
  <c r="AQ96" i="6" s="1"/>
  <c r="Z54" i="6"/>
  <c r="AF54" i="6" s="1"/>
  <c r="AG54" i="6" s="1"/>
  <c r="AI54" i="6" s="1"/>
  <c r="AA139" i="6"/>
  <c r="AC139" i="6" s="1"/>
  <c r="AD139" i="6" s="1"/>
  <c r="AI18" i="6"/>
  <c r="AI120" i="6"/>
  <c r="AA40" i="6"/>
  <c r="AC40" i="6" s="1"/>
  <c r="AD40" i="6" s="1"/>
  <c r="AG141" i="5"/>
  <c r="AI31" i="6"/>
  <c r="AA94" i="6"/>
  <c r="AQ94" i="6" s="1"/>
  <c r="AI14" i="6"/>
  <c r="AN18" i="6"/>
  <c r="AI68" i="6"/>
  <c r="AH397" i="5"/>
  <c r="AP76" i="6"/>
  <c r="AA108" i="6"/>
  <c r="AP108" i="6" s="1"/>
  <c r="AA41" i="6"/>
  <c r="AC41" i="6" s="1"/>
  <c r="AD41" i="6" s="1"/>
  <c r="Z108" i="6"/>
  <c r="AK108" i="6" s="1"/>
  <c r="AL108" i="6" s="1"/>
  <c r="Z40" i="6"/>
  <c r="AF40" i="6" s="1"/>
  <c r="AG40" i="6" s="1"/>
  <c r="AI40" i="6" s="1"/>
  <c r="AI63" i="6"/>
  <c r="Z94" i="6"/>
  <c r="AF94" i="6" s="1"/>
  <c r="AG94" i="6" s="1"/>
  <c r="AI94" i="6" s="1"/>
  <c r="AI58" i="6"/>
  <c r="AI138" i="6"/>
  <c r="AA123" i="6"/>
  <c r="AQ123" i="6" s="1"/>
  <c r="AA151" i="6"/>
  <c r="AP151" i="6" s="1"/>
  <c r="Z123" i="6"/>
  <c r="AK123" i="6" s="1"/>
  <c r="AL123" i="6" s="1"/>
  <c r="Z151" i="6"/>
  <c r="AK151" i="6" s="1"/>
  <c r="AL151" i="6" s="1"/>
  <c r="Z144" i="6"/>
  <c r="AK144" i="6" s="1"/>
  <c r="AL144" i="6" s="1"/>
  <c r="AG232" i="5"/>
  <c r="Z38" i="8"/>
  <c r="AK38" i="8" s="1"/>
  <c r="AL38" i="8" s="1"/>
  <c r="AI23" i="6"/>
  <c r="AH79" i="5"/>
  <c r="AF35" i="6"/>
  <c r="AG35" i="6" s="1"/>
  <c r="AI35" i="6" s="1"/>
  <c r="AI124" i="6"/>
  <c r="Z98" i="6"/>
  <c r="AK98" i="6" s="1"/>
  <c r="AL98" i="6" s="1"/>
  <c r="AF126" i="8"/>
  <c r="AG126" i="8" s="1"/>
  <c r="AI126" i="8" s="1"/>
  <c r="AI60" i="6"/>
  <c r="AK126" i="8"/>
  <c r="AL126" i="8" s="1"/>
  <c r="AO126" i="8" s="1"/>
  <c r="AA38" i="8"/>
  <c r="AQ38" i="8" s="1"/>
  <c r="AA98" i="6"/>
  <c r="AQ98" i="6" s="1"/>
  <c r="AG106" i="5"/>
  <c r="AG134" i="5"/>
  <c r="AK120" i="6"/>
  <c r="AL120" i="6" s="1"/>
  <c r="AI137" i="8"/>
  <c r="AU137" i="8" s="1"/>
  <c r="AW137" i="8" s="1"/>
  <c r="AF39" i="8"/>
  <c r="AG39" i="8" s="1"/>
  <c r="AI39" i="8" s="1"/>
  <c r="AG12" i="5"/>
  <c r="AH538" i="5"/>
  <c r="AI36" i="6"/>
  <c r="AI11" i="6"/>
  <c r="AH107" i="5"/>
  <c r="AH41" i="5"/>
  <c r="AH528" i="5"/>
  <c r="T11" i="5"/>
  <c r="AC103" i="6"/>
  <c r="AD103" i="6" s="1"/>
  <c r="AI59" i="8"/>
  <c r="AG30" i="5"/>
  <c r="AG158" i="5"/>
  <c r="AP103" i="6"/>
  <c r="AK39" i="8"/>
  <c r="AL39" i="8" s="1"/>
  <c r="AO39" i="8" s="1"/>
  <c r="AK102" i="8"/>
  <c r="AL102" i="8" s="1"/>
  <c r="AO102" i="8" s="1"/>
  <c r="AI116" i="8"/>
  <c r="AU116" i="8" s="1"/>
  <c r="AW116" i="8" s="1"/>
  <c r="AI24" i="8"/>
  <c r="AU24" i="8" s="1"/>
  <c r="AW24" i="8" s="1"/>
  <c r="AI142" i="8"/>
  <c r="AI112" i="8"/>
  <c r="AU112" i="8" s="1"/>
  <c r="AW112" i="8" s="1"/>
  <c r="AI120" i="8"/>
  <c r="AI15" i="8"/>
  <c r="AU15" i="8" s="1"/>
  <c r="AW15" i="8" s="1"/>
  <c r="AC114" i="8"/>
  <c r="AD114" i="8" s="1"/>
  <c r="AI28" i="6"/>
  <c r="AI111" i="6"/>
  <c r="AI143" i="8"/>
  <c r="AK114" i="6"/>
  <c r="AL114" i="6" s="1"/>
  <c r="AO114" i="6" s="1"/>
  <c r="AI15" i="6"/>
  <c r="AI16" i="6"/>
  <c r="AI106" i="8"/>
  <c r="AU106" i="8" s="1"/>
  <c r="AW106" i="8" s="1"/>
  <c r="AI52" i="8"/>
  <c r="AU52" i="8" s="1"/>
  <c r="AW52" i="8" s="1"/>
  <c r="AN11" i="6"/>
  <c r="X7" i="6"/>
  <c r="AA7" i="6" s="1"/>
  <c r="AC7" i="6" s="1"/>
  <c r="AD7" i="6" s="1"/>
  <c r="AI26" i="6"/>
  <c r="AC34" i="8"/>
  <c r="AD34" i="8" s="1"/>
  <c r="AQ76" i="6"/>
  <c r="AK110" i="6"/>
  <c r="AL110" i="6" s="1"/>
  <c r="AO110" i="6" s="1"/>
  <c r="AP156" i="8"/>
  <c r="AC41" i="8"/>
  <c r="AD41" i="8" s="1"/>
  <c r="AI150" i="8"/>
  <c r="AI130" i="8"/>
  <c r="AU130" i="8" s="1"/>
  <c r="AW130" i="8" s="1"/>
  <c r="AI131" i="8"/>
  <c r="AA144" i="6"/>
  <c r="AP144" i="6" s="1"/>
  <c r="X47" i="6"/>
  <c r="AE47" i="6"/>
  <c r="Y47" i="6"/>
  <c r="X44" i="6"/>
  <c r="AJ44" i="6" s="1"/>
  <c r="Y44" i="6"/>
  <c r="AE44" i="6"/>
  <c r="X82" i="6"/>
  <c r="AJ82" i="6" s="1"/>
  <c r="AE82" i="6"/>
  <c r="Y82" i="6"/>
  <c r="Z7" i="6"/>
  <c r="X143" i="6"/>
  <c r="AJ143" i="6" s="1"/>
  <c r="AE143" i="6"/>
  <c r="Y143" i="6"/>
  <c r="X141" i="6"/>
  <c r="AJ141" i="6" s="1"/>
  <c r="AE141" i="6"/>
  <c r="Y141" i="6"/>
  <c r="AE7" i="6"/>
  <c r="X89" i="6"/>
  <c r="AJ89" i="6" s="1"/>
  <c r="Y89" i="6"/>
  <c r="AE89" i="6"/>
  <c r="X48" i="6"/>
  <c r="AJ48" i="6" s="1"/>
  <c r="Y48" i="6"/>
  <c r="AE48" i="6"/>
  <c r="X132" i="6"/>
  <c r="AJ132" i="6" s="1"/>
  <c r="Y132" i="6"/>
  <c r="AE132" i="6"/>
  <c r="X135" i="6"/>
  <c r="AJ135" i="6" s="1"/>
  <c r="AE135" i="6"/>
  <c r="Y135" i="6"/>
  <c r="AN93" i="6"/>
  <c r="AO93" i="6" s="1"/>
  <c r="AH515" i="5"/>
  <c r="AG558" i="5"/>
  <c r="AH246" i="5"/>
  <c r="AF42" i="6"/>
  <c r="AG42" i="6" s="1"/>
  <c r="AI42" i="6" s="1"/>
  <c r="AI76" i="6"/>
  <c r="AK42" i="6"/>
  <c r="AL42" i="6" s="1"/>
  <c r="AO42" i="6" s="1"/>
  <c r="AF125" i="6"/>
  <c r="AG125" i="6" s="1"/>
  <c r="AI125" i="6" s="1"/>
  <c r="AC91" i="6"/>
  <c r="AD91" i="6" s="1"/>
  <c r="AK125" i="6"/>
  <c r="AL125" i="6" s="1"/>
  <c r="AO125" i="6" s="1"/>
  <c r="AP124" i="6"/>
  <c r="AN104" i="6"/>
  <c r="AI101" i="6"/>
  <c r="AC124" i="6"/>
  <c r="AD124" i="6" s="1"/>
  <c r="AI23" i="8"/>
  <c r="AU23" i="8" s="1"/>
  <c r="AW23" i="8" s="1"/>
  <c r="AI140" i="8"/>
  <c r="AI89" i="8"/>
  <c r="AI122" i="8"/>
  <c r="AU122" i="8" s="1"/>
  <c r="AW122" i="8" s="1"/>
  <c r="AI46" i="8"/>
  <c r="AI117" i="8"/>
  <c r="AU117" i="8" s="1"/>
  <c r="AW117" i="8" s="1"/>
  <c r="AI92" i="8"/>
  <c r="AU92" i="8" s="1"/>
  <c r="AW92" i="8" s="1"/>
  <c r="AI18" i="8"/>
  <c r="AU18" i="8" s="1"/>
  <c r="AW18" i="8" s="1"/>
  <c r="AI99" i="8"/>
  <c r="AU99" i="8" s="1"/>
  <c r="AW99" i="8" s="1"/>
  <c r="AC17" i="6"/>
  <c r="AD17" i="6" s="1"/>
  <c r="AF16" i="8"/>
  <c r="AG16" i="8" s="1"/>
  <c r="AI16" i="8" s="1"/>
  <c r="AI9" i="8"/>
  <c r="AU9" i="8" s="1"/>
  <c r="AW9" i="8" s="1"/>
  <c r="AI127" i="8"/>
  <c r="AU127" i="8" s="1"/>
  <c r="AW127" i="8" s="1"/>
  <c r="AF17" i="8"/>
  <c r="AG17" i="8" s="1"/>
  <c r="AI17" i="8" s="1"/>
  <c r="AI84" i="8"/>
  <c r="AI7" i="8"/>
  <c r="AU7" i="8" s="1"/>
  <c r="AW7" i="8" s="1"/>
  <c r="AI152" i="8"/>
  <c r="AU152" i="8" s="1"/>
  <c r="AW152" i="8" s="1"/>
  <c r="AQ88" i="8"/>
  <c r="AP42" i="8"/>
  <c r="AI63" i="8"/>
  <c r="AU63" i="8" s="1"/>
  <c r="AW63" i="8" s="1"/>
  <c r="AI20" i="8"/>
  <c r="AU20" i="8" s="1"/>
  <c r="AW20" i="8" s="1"/>
  <c r="AC124" i="8"/>
  <c r="AD124" i="8" s="1"/>
  <c r="AC10" i="6"/>
  <c r="AD10" i="6" s="1"/>
  <c r="AC42" i="8"/>
  <c r="AD42" i="8" s="1"/>
  <c r="AQ25" i="6"/>
  <c r="AC25" i="6"/>
  <c r="AD25" i="6" s="1"/>
  <c r="AP25" i="6"/>
  <c r="AP18" i="6"/>
  <c r="AC18" i="6"/>
  <c r="AD18" i="6" s="1"/>
  <c r="AQ18" i="6"/>
  <c r="AC19" i="6"/>
  <c r="AD19" i="6" s="1"/>
  <c r="AP19" i="6"/>
  <c r="AQ19" i="6"/>
  <c r="AC20" i="6"/>
  <c r="AD20" i="6" s="1"/>
  <c r="AP20" i="6"/>
  <c r="AQ20" i="6"/>
  <c r="AC13" i="6"/>
  <c r="AD13" i="6" s="1"/>
  <c r="AP13" i="6"/>
  <c r="AQ13" i="6"/>
  <c r="AP8" i="6"/>
  <c r="AQ8" i="6"/>
  <c r="AC8" i="6"/>
  <c r="AD8" i="6" s="1"/>
  <c r="AP15" i="6"/>
  <c r="AC15" i="6"/>
  <c r="AD15" i="6" s="1"/>
  <c r="AQ15" i="6"/>
  <c r="AC21" i="6"/>
  <c r="AD21" i="6" s="1"/>
  <c r="AQ21" i="6"/>
  <c r="AP21" i="6"/>
  <c r="AP9" i="6"/>
  <c r="AQ9" i="6"/>
  <c r="AC9" i="6"/>
  <c r="AD9" i="6" s="1"/>
  <c r="AP24" i="6"/>
  <c r="AC24" i="6"/>
  <c r="AD24" i="6" s="1"/>
  <c r="AQ24" i="6"/>
  <c r="AP23" i="6"/>
  <c r="AQ23" i="6"/>
  <c r="AC23" i="6"/>
  <c r="AD23" i="6" s="1"/>
  <c r="AQ12" i="6"/>
  <c r="AC12" i="6"/>
  <c r="AD12" i="6" s="1"/>
  <c r="AP12" i="6"/>
  <c r="AP11" i="6"/>
  <c r="AQ11" i="6"/>
  <c r="AC11" i="6"/>
  <c r="AD11" i="6" s="1"/>
  <c r="AC22" i="6"/>
  <c r="AD22" i="6" s="1"/>
  <c r="AP22" i="6"/>
  <c r="AQ22" i="6"/>
  <c r="AC14" i="6"/>
  <c r="AD14" i="6" s="1"/>
  <c r="AP14" i="6"/>
  <c r="AQ14" i="6"/>
  <c r="AQ16" i="6"/>
  <c r="AP16" i="6"/>
  <c r="AC16" i="6"/>
  <c r="AD16" i="6" s="1"/>
  <c r="AP26" i="6"/>
  <c r="AC26" i="6"/>
  <c r="AD26" i="6" s="1"/>
  <c r="AQ26" i="6"/>
  <c r="AQ10" i="6"/>
  <c r="AQ134" i="8"/>
  <c r="AQ124" i="8"/>
  <c r="AI111" i="8"/>
  <c r="AU111" i="8" s="1"/>
  <c r="AW111" i="8" s="1"/>
  <c r="AP17" i="6"/>
  <c r="AI10" i="8"/>
  <c r="AK17" i="8"/>
  <c r="AL17" i="8" s="1"/>
  <c r="AO17" i="8" s="1"/>
  <c r="AP34" i="8"/>
  <c r="AI109" i="8"/>
  <c r="AU109" i="8" s="1"/>
  <c r="AW109" i="8" s="1"/>
  <c r="AI19" i="8"/>
  <c r="AF135" i="8"/>
  <c r="AG135" i="8" s="1"/>
  <c r="AI135" i="8" s="1"/>
  <c r="AI101" i="8"/>
  <c r="AU101" i="8" s="1"/>
  <c r="AW101" i="8" s="1"/>
  <c r="AK16" i="8"/>
  <c r="AL16" i="8" s="1"/>
  <c r="AO16" i="8" s="1"/>
  <c r="AF87" i="8"/>
  <c r="AG87" i="8" s="1"/>
  <c r="AI87" i="8" s="1"/>
  <c r="AK87" i="8"/>
  <c r="AL87" i="8" s="1"/>
  <c r="AO87" i="8" s="1"/>
  <c r="AI95" i="8"/>
  <c r="AU95" i="8" s="1"/>
  <c r="AW95" i="8" s="1"/>
  <c r="AI54" i="8"/>
  <c r="AC85" i="8"/>
  <c r="AD85" i="8" s="1"/>
  <c r="AC56" i="8"/>
  <c r="AD56" i="8" s="1"/>
  <c r="AP85" i="8"/>
  <c r="AP56" i="8"/>
  <c r="AF91" i="8"/>
  <c r="AG91" i="8" s="1"/>
  <c r="AI91" i="8" s="1"/>
  <c r="AK85" i="8"/>
  <c r="AL85" i="8" s="1"/>
  <c r="AO85" i="8" s="1"/>
  <c r="AC134" i="8"/>
  <c r="AD134" i="8" s="1"/>
  <c r="AP114" i="8"/>
  <c r="AI93" i="8"/>
  <c r="AF85" i="8"/>
  <c r="AG85" i="8" s="1"/>
  <c r="AI85" i="8" s="1"/>
  <c r="AC156" i="8"/>
  <c r="AD156" i="8" s="1"/>
  <c r="AF96" i="8"/>
  <c r="AG96" i="8" s="1"/>
  <c r="AI96" i="8" s="1"/>
  <c r="AK51" i="8"/>
  <c r="AL51" i="8" s="1"/>
  <c r="AO51" i="8" s="1"/>
  <c r="AF51" i="8"/>
  <c r="AG51" i="8" s="1"/>
  <c r="AI51" i="8" s="1"/>
  <c r="AP41" i="8"/>
  <c r="AI123" i="8"/>
  <c r="AI21" i="8"/>
  <c r="AQ62" i="8"/>
  <c r="AI147" i="8"/>
  <c r="AU147" i="8" s="1"/>
  <c r="AW147" i="8" s="1"/>
  <c r="AC62" i="8"/>
  <c r="AD62" i="8" s="1"/>
  <c r="AP128" i="8"/>
  <c r="AQ128" i="8"/>
  <c r="AK135" i="8"/>
  <c r="AL135" i="8" s="1"/>
  <c r="AO135" i="8" s="1"/>
  <c r="AK91" i="8"/>
  <c r="AL91" i="8" s="1"/>
  <c r="AO91" i="8" s="1"/>
  <c r="AC88" i="8"/>
  <c r="AD88" i="8" s="1"/>
  <c r="AN41" i="8"/>
  <c r="AO41" i="8" s="1"/>
  <c r="AF41" i="8"/>
  <c r="AG41" i="8" s="1"/>
  <c r="AI41" i="8" s="1"/>
  <c r="AF22" i="8"/>
  <c r="AG22" i="8" s="1"/>
  <c r="AI22" i="8" s="1"/>
  <c r="AN110" i="8"/>
  <c r="AF110" i="8"/>
  <c r="AG110" i="8" s="1"/>
  <c r="AI110" i="8" s="1"/>
  <c r="AP136" i="8"/>
  <c r="AQ136" i="8"/>
  <c r="AC136" i="8"/>
  <c r="AD136" i="8" s="1"/>
  <c r="AQ45" i="8"/>
  <c r="AP45" i="8"/>
  <c r="AC45" i="8"/>
  <c r="AD45" i="8" s="1"/>
  <c r="AC108" i="8"/>
  <c r="AD108" i="8" s="1"/>
  <c r="AP108" i="8"/>
  <c r="AQ108" i="8"/>
  <c r="AN29" i="8"/>
  <c r="AF29" i="8"/>
  <c r="AG29" i="8" s="1"/>
  <c r="AI29" i="8" s="1"/>
  <c r="AQ139" i="8"/>
  <c r="AP139" i="8"/>
  <c r="AC139" i="8"/>
  <c r="AD139" i="8" s="1"/>
  <c r="AN148" i="8"/>
  <c r="AF148" i="8"/>
  <c r="AG148" i="8" s="1"/>
  <c r="AI148" i="8" s="1"/>
  <c r="AC33" i="8"/>
  <c r="AD33" i="8" s="1"/>
  <c r="AQ33" i="8"/>
  <c r="AP33" i="8"/>
  <c r="AN43" i="8"/>
  <c r="AF43" i="8"/>
  <c r="AG43" i="8" s="1"/>
  <c r="AI43" i="8" s="1"/>
  <c r="AN56" i="8"/>
  <c r="AF56" i="8"/>
  <c r="AG56" i="8" s="1"/>
  <c r="AI56" i="8" s="1"/>
  <c r="AQ30" i="8"/>
  <c r="AP30" i="8"/>
  <c r="AC30" i="8"/>
  <c r="AD30" i="8" s="1"/>
  <c r="AN61" i="8"/>
  <c r="AF61" i="8"/>
  <c r="AG61" i="8" s="1"/>
  <c r="AI61" i="8" s="1"/>
  <c r="AN156" i="8"/>
  <c r="AF156" i="8"/>
  <c r="AG156" i="8" s="1"/>
  <c r="AI156" i="8" s="1"/>
  <c r="AN34" i="8"/>
  <c r="AO34" i="8" s="1"/>
  <c r="AF34" i="8"/>
  <c r="AG34" i="8" s="1"/>
  <c r="AI34" i="8" s="1"/>
  <c r="AN124" i="8"/>
  <c r="AF124" i="8"/>
  <c r="AG124" i="8" s="1"/>
  <c r="AI124" i="8" s="1"/>
  <c r="AN129" i="8"/>
  <c r="AO129" i="8" s="1"/>
  <c r="AF129" i="8"/>
  <c r="AG129" i="8" s="1"/>
  <c r="AI129" i="8" s="1"/>
  <c r="AI90" i="8"/>
  <c r="AU90" i="8" s="1"/>
  <c r="AW90" i="8" s="1"/>
  <c r="AQ133" i="8"/>
  <c r="AC133" i="8"/>
  <c r="AD133" i="8" s="1"/>
  <c r="AP133" i="8"/>
  <c r="AQ81" i="8"/>
  <c r="AP81" i="8"/>
  <c r="AC81" i="8"/>
  <c r="AD81" i="8" s="1"/>
  <c r="AN104" i="8"/>
  <c r="AF104" i="8"/>
  <c r="AG104" i="8" s="1"/>
  <c r="AI104" i="8" s="1"/>
  <c r="AN151" i="8"/>
  <c r="AF151" i="8"/>
  <c r="AG151" i="8" s="1"/>
  <c r="AI151" i="8" s="1"/>
  <c r="AC11" i="8"/>
  <c r="AD11" i="8" s="1"/>
  <c r="AQ11" i="8"/>
  <c r="AP11" i="8"/>
  <c r="AN80" i="8"/>
  <c r="AO80" i="8" s="1"/>
  <c r="AF80" i="8"/>
  <c r="AG80" i="8" s="1"/>
  <c r="AI80" i="8" s="1"/>
  <c r="AC57" i="8"/>
  <c r="AD57" i="8" s="1"/>
  <c r="AQ57" i="8"/>
  <c r="AP57" i="8"/>
  <c r="AI26" i="8"/>
  <c r="AU26" i="8" s="1"/>
  <c r="AW26" i="8" s="1"/>
  <c r="AK151" i="8"/>
  <c r="AL151" i="8" s="1"/>
  <c r="AC96" i="8"/>
  <c r="AD96" i="8" s="1"/>
  <c r="AP96" i="8"/>
  <c r="AQ96" i="8"/>
  <c r="AK104" i="8"/>
  <c r="AL104" i="8" s="1"/>
  <c r="AI138" i="8"/>
  <c r="AU138" i="8" s="1"/>
  <c r="AW138" i="8" s="1"/>
  <c r="AC43" i="8"/>
  <c r="AD43" i="8" s="1"/>
  <c r="AQ43" i="8"/>
  <c r="AP43" i="8"/>
  <c r="AN36" i="8"/>
  <c r="AO36" i="8" s="1"/>
  <c r="AF36" i="8"/>
  <c r="AG36" i="8" s="1"/>
  <c r="AI36" i="8" s="1"/>
  <c r="AC65" i="8"/>
  <c r="AD65" i="8" s="1"/>
  <c r="AQ65" i="8"/>
  <c r="AP65" i="8"/>
  <c r="AN145" i="8"/>
  <c r="AO145" i="8" s="1"/>
  <c r="AF145" i="8"/>
  <c r="AG145" i="8" s="1"/>
  <c r="AI145" i="8" s="1"/>
  <c r="AN81" i="8"/>
  <c r="AF81" i="8"/>
  <c r="AG81" i="8" s="1"/>
  <c r="AI81" i="8" s="1"/>
  <c r="AQ94" i="8"/>
  <c r="AP94" i="8"/>
  <c r="AC94" i="8"/>
  <c r="AD94" i="8" s="1"/>
  <c r="AN70" i="8"/>
  <c r="AO70" i="8" s="1"/>
  <c r="AF70" i="8"/>
  <c r="AG70" i="8" s="1"/>
  <c r="AI70" i="8" s="1"/>
  <c r="AC47" i="8"/>
  <c r="AD47" i="8" s="1"/>
  <c r="AQ47" i="8"/>
  <c r="AP47" i="8"/>
  <c r="AI58" i="8"/>
  <c r="AU58" i="8" s="1"/>
  <c r="AW58" i="8" s="1"/>
  <c r="AQ16" i="8"/>
  <c r="AC16" i="8"/>
  <c r="AD16" i="8" s="1"/>
  <c r="AP16" i="8"/>
  <c r="AP135" i="8"/>
  <c r="AC135" i="8"/>
  <c r="AD135" i="8" s="1"/>
  <c r="AQ135" i="8"/>
  <c r="AN125" i="8"/>
  <c r="AF125" i="8"/>
  <c r="AG125" i="8" s="1"/>
  <c r="AI125" i="8" s="1"/>
  <c r="AP97" i="8"/>
  <c r="AC97" i="8"/>
  <c r="AD97" i="8" s="1"/>
  <c r="AQ97" i="8"/>
  <c r="AQ79" i="8"/>
  <c r="AP79" i="8"/>
  <c r="AC79" i="8"/>
  <c r="AD79" i="8" s="1"/>
  <c r="AN134" i="8"/>
  <c r="AF134" i="8"/>
  <c r="AG134" i="8" s="1"/>
  <c r="AI134" i="8" s="1"/>
  <c r="AN64" i="8"/>
  <c r="AF64" i="8"/>
  <c r="AG64" i="8" s="1"/>
  <c r="AI64" i="8" s="1"/>
  <c r="AN132" i="8"/>
  <c r="AO132" i="8" s="1"/>
  <c r="AF132" i="8"/>
  <c r="AG132" i="8" s="1"/>
  <c r="AI132" i="8" s="1"/>
  <c r="AP154" i="8"/>
  <c r="AC154" i="8"/>
  <c r="AD154" i="8" s="1"/>
  <c r="AQ154" i="8"/>
  <c r="AP80" i="8"/>
  <c r="AC80" i="8"/>
  <c r="AD80" i="8" s="1"/>
  <c r="AQ80" i="8"/>
  <c r="AN71" i="8"/>
  <c r="AO71" i="8" s="1"/>
  <c r="AF71" i="8"/>
  <c r="AG71" i="8" s="1"/>
  <c r="AI71" i="8" s="1"/>
  <c r="AQ119" i="8"/>
  <c r="AP119" i="8"/>
  <c r="AC119" i="8"/>
  <c r="AD119" i="8" s="1"/>
  <c r="AN82" i="8"/>
  <c r="AF82" i="8"/>
  <c r="AG82" i="8" s="1"/>
  <c r="AI82" i="8" s="1"/>
  <c r="AN35" i="8"/>
  <c r="AF35" i="8"/>
  <c r="AG35" i="8" s="1"/>
  <c r="AI35" i="8" s="1"/>
  <c r="AN30" i="8"/>
  <c r="AF30" i="8"/>
  <c r="AG30" i="8" s="1"/>
  <c r="AI30" i="8" s="1"/>
  <c r="AK56" i="8"/>
  <c r="AL56" i="8" s="1"/>
  <c r="AK64" i="8"/>
  <c r="AL64" i="8" s="1"/>
  <c r="AN45" i="8"/>
  <c r="AO45" i="8" s="1"/>
  <c r="AF45" i="8"/>
  <c r="AG45" i="8" s="1"/>
  <c r="AI45" i="8" s="1"/>
  <c r="AN33" i="8"/>
  <c r="AF33" i="8"/>
  <c r="AG33" i="8" s="1"/>
  <c r="AI33" i="8" s="1"/>
  <c r="AN121" i="8"/>
  <c r="AO121" i="8" s="1"/>
  <c r="AF121" i="8"/>
  <c r="AG121" i="8" s="1"/>
  <c r="AI121" i="8" s="1"/>
  <c r="AN146" i="8"/>
  <c r="AF146" i="8"/>
  <c r="AG146" i="8" s="1"/>
  <c r="AI146" i="8" s="1"/>
  <c r="AN31" i="8"/>
  <c r="AO31" i="8" s="1"/>
  <c r="AF31" i="8"/>
  <c r="AG31" i="8" s="1"/>
  <c r="AI31" i="8" s="1"/>
  <c r="AC60" i="8"/>
  <c r="AD60" i="8" s="1"/>
  <c r="AP60" i="8"/>
  <c r="AQ60" i="8"/>
  <c r="AN154" i="8"/>
  <c r="AF154" i="8"/>
  <c r="AG154" i="8" s="1"/>
  <c r="AI154" i="8" s="1"/>
  <c r="AC129" i="8"/>
  <c r="AD129" i="8" s="1"/>
  <c r="AP129" i="8"/>
  <c r="AQ129" i="8"/>
  <c r="AQ22" i="8"/>
  <c r="AC22" i="8"/>
  <c r="AD22" i="8" s="1"/>
  <c r="AP22" i="8"/>
  <c r="AN114" i="8"/>
  <c r="AO114" i="8" s="1"/>
  <c r="AF114" i="8"/>
  <c r="AG114" i="8" s="1"/>
  <c r="AI114" i="8" s="1"/>
  <c r="AQ29" i="8"/>
  <c r="AP29" i="8"/>
  <c r="AC29" i="8"/>
  <c r="AD29" i="8" s="1"/>
  <c r="AN97" i="8"/>
  <c r="AO97" i="8" s="1"/>
  <c r="AF97" i="8"/>
  <c r="AG97" i="8" s="1"/>
  <c r="AI97" i="8" s="1"/>
  <c r="AQ35" i="8"/>
  <c r="AP35" i="8"/>
  <c r="AC35" i="8"/>
  <c r="AD35" i="8" s="1"/>
  <c r="AN98" i="8"/>
  <c r="AO98" i="8" s="1"/>
  <c r="AF98" i="8"/>
  <c r="AG98" i="8" s="1"/>
  <c r="AI98" i="8" s="1"/>
  <c r="AP53" i="8"/>
  <c r="AQ53" i="8"/>
  <c r="AC53" i="8"/>
  <c r="AD53" i="8" s="1"/>
  <c r="AP98" i="8"/>
  <c r="AQ98" i="8"/>
  <c r="AC98" i="8"/>
  <c r="AD98" i="8" s="1"/>
  <c r="AK146" i="8"/>
  <c r="AL146" i="8" s="1"/>
  <c r="AN107" i="8"/>
  <c r="AO107" i="8" s="1"/>
  <c r="AF107" i="8"/>
  <c r="AG107" i="8" s="1"/>
  <c r="AI107" i="8" s="1"/>
  <c r="AN53" i="8"/>
  <c r="AO53" i="8" s="1"/>
  <c r="AF53" i="8"/>
  <c r="AG53" i="8" s="1"/>
  <c r="AI53" i="8" s="1"/>
  <c r="AN139" i="8"/>
  <c r="AO139" i="8" s="1"/>
  <c r="AF139" i="8"/>
  <c r="AG139" i="8" s="1"/>
  <c r="AI139" i="8" s="1"/>
  <c r="AK30" i="8"/>
  <c r="AL30" i="8" s="1"/>
  <c r="AN153" i="8"/>
  <c r="AF153" i="8"/>
  <c r="AG153" i="8" s="1"/>
  <c r="AI153" i="8" s="1"/>
  <c r="AN128" i="8"/>
  <c r="AO128" i="8" s="1"/>
  <c r="AF128" i="8"/>
  <c r="AG128" i="8" s="1"/>
  <c r="AI128" i="8" s="1"/>
  <c r="AC82" i="8"/>
  <c r="AD82" i="8" s="1"/>
  <c r="AQ82" i="8"/>
  <c r="AP82" i="8"/>
  <c r="AP102" i="8"/>
  <c r="AQ102" i="8"/>
  <c r="AC102" i="8"/>
  <c r="AD102" i="8" s="1"/>
  <c r="AC17" i="8"/>
  <c r="AD17" i="8" s="1"/>
  <c r="AP17" i="8"/>
  <c r="AQ17" i="8"/>
  <c r="AQ72" i="8"/>
  <c r="AP72" i="8"/>
  <c r="AC72" i="8"/>
  <c r="AD72" i="8" s="1"/>
  <c r="AK125" i="8"/>
  <c r="AL125" i="8" s="1"/>
  <c r="AN42" i="8"/>
  <c r="AO42" i="8" s="1"/>
  <c r="AF42" i="8"/>
  <c r="AG42" i="8" s="1"/>
  <c r="AI42" i="8" s="1"/>
  <c r="AK81" i="8"/>
  <c r="AL81" i="8" s="1"/>
  <c r="AN65" i="8"/>
  <c r="AO65" i="8" s="1"/>
  <c r="AF65" i="8"/>
  <c r="AG65" i="8" s="1"/>
  <c r="AI65" i="8" s="1"/>
  <c r="AF108" i="8"/>
  <c r="AG108" i="8" s="1"/>
  <c r="AI108" i="8" s="1"/>
  <c r="AK82" i="8"/>
  <c r="AL82" i="8" s="1"/>
  <c r="AP70" i="8"/>
  <c r="AC70" i="8"/>
  <c r="AD70" i="8" s="1"/>
  <c r="AQ70" i="8"/>
  <c r="AQ107" i="8"/>
  <c r="AP107" i="8"/>
  <c r="AC107" i="8"/>
  <c r="AD107" i="8" s="1"/>
  <c r="AP125" i="8"/>
  <c r="AC125" i="8"/>
  <c r="AD125" i="8" s="1"/>
  <c r="AQ125" i="8"/>
  <c r="AN133" i="8"/>
  <c r="AF133" i="8"/>
  <c r="AG133" i="8" s="1"/>
  <c r="AI133" i="8" s="1"/>
  <c r="AN13" i="8"/>
  <c r="AF13" i="8"/>
  <c r="AG13" i="8" s="1"/>
  <c r="AI13" i="8" s="1"/>
  <c r="AQ148" i="8"/>
  <c r="AP148" i="8"/>
  <c r="AC148" i="8"/>
  <c r="AD148" i="8" s="1"/>
  <c r="AC13" i="8"/>
  <c r="AD13" i="8" s="1"/>
  <c r="AQ13" i="8"/>
  <c r="AP13" i="8"/>
  <c r="AN74" i="8"/>
  <c r="AO74" i="8" s="1"/>
  <c r="AF74" i="8"/>
  <c r="AG74" i="8" s="1"/>
  <c r="AI74" i="8" s="1"/>
  <c r="AP36" i="8"/>
  <c r="AQ36" i="8"/>
  <c r="AC36" i="8"/>
  <c r="AD36" i="8" s="1"/>
  <c r="AK153" i="8"/>
  <c r="AL153" i="8" s="1"/>
  <c r="AK110" i="8"/>
  <c r="AL110" i="8" s="1"/>
  <c r="AI49" i="8"/>
  <c r="AU49" i="8" s="1"/>
  <c r="AW49" i="8" s="1"/>
  <c r="AQ132" i="8"/>
  <c r="AC132" i="8"/>
  <c r="AD132" i="8" s="1"/>
  <c r="AP132" i="8"/>
  <c r="AN62" i="8"/>
  <c r="AO62" i="8" s="1"/>
  <c r="AF62" i="8"/>
  <c r="AG62" i="8" s="1"/>
  <c r="AI62" i="8" s="1"/>
  <c r="AN136" i="8"/>
  <c r="AO136" i="8" s="1"/>
  <c r="AF136" i="8"/>
  <c r="AG136" i="8" s="1"/>
  <c r="AI136" i="8" s="1"/>
  <c r="AN11" i="8"/>
  <c r="AO11" i="8" s="1"/>
  <c r="AF11" i="8"/>
  <c r="AG11" i="8" s="1"/>
  <c r="AI11" i="8" s="1"/>
  <c r="AN60" i="8"/>
  <c r="AO60" i="8" s="1"/>
  <c r="AF60" i="8"/>
  <c r="AG60" i="8" s="1"/>
  <c r="AI60" i="8" s="1"/>
  <c r="AN94" i="8"/>
  <c r="AO94" i="8" s="1"/>
  <c r="AF94" i="8"/>
  <c r="AG94" i="8" s="1"/>
  <c r="AI94" i="8" s="1"/>
  <c r="AN119" i="8"/>
  <c r="AO119" i="8" s="1"/>
  <c r="AF119" i="8"/>
  <c r="AG119" i="8" s="1"/>
  <c r="AI119" i="8" s="1"/>
  <c r="AK134" i="8"/>
  <c r="AL134" i="8" s="1"/>
  <c r="AI50" i="8"/>
  <c r="AU50" i="8" s="1"/>
  <c r="AW50" i="8" s="1"/>
  <c r="AQ64" i="8"/>
  <c r="AP64" i="8"/>
  <c r="AC64" i="8"/>
  <c r="AD64" i="8" s="1"/>
  <c r="AN83" i="8"/>
  <c r="AO83" i="8" s="1"/>
  <c r="AF83" i="8"/>
  <c r="AG83" i="8" s="1"/>
  <c r="AI83" i="8" s="1"/>
  <c r="AQ151" i="8"/>
  <c r="AP151" i="8"/>
  <c r="AC151" i="8"/>
  <c r="AD151" i="8" s="1"/>
  <c r="AK61" i="8"/>
  <c r="AL61" i="8" s="1"/>
  <c r="AC74" i="8"/>
  <c r="AD74" i="8" s="1"/>
  <c r="AQ74" i="8"/>
  <c r="AP74" i="8"/>
  <c r="AK124" i="8"/>
  <c r="AL124" i="8" s="1"/>
  <c r="AC40" i="8"/>
  <c r="AD40" i="8" s="1"/>
  <c r="AQ40" i="8"/>
  <c r="AP40" i="8"/>
  <c r="AN57" i="8"/>
  <c r="AO57" i="8" s="1"/>
  <c r="AF57" i="8"/>
  <c r="AG57" i="8" s="1"/>
  <c r="AI57" i="8" s="1"/>
  <c r="AK35" i="8"/>
  <c r="AL35" i="8" s="1"/>
  <c r="AK13" i="8"/>
  <c r="AL13" i="8" s="1"/>
  <c r="AP87" i="8"/>
  <c r="AC87" i="8"/>
  <c r="AD87" i="8" s="1"/>
  <c r="AQ87" i="8"/>
  <c r="AN88" i="8"/>
  <c r="AO88" i="8" s="1"/>
  <c r="AF88" i="8"/>
  <c r="AG88" i="8" s="1"/>
  <c r="AI88" i="8" s="1"/>
  <c r="AC91" i="8"/>
  <c r="AD91" i="8" s="1"/>
  <c r="AQ91" i="8"/>
  <c r="AP91" i="8"/>
  <c r="AK148" i="8"/>
  <c r="AL148" i="8" s="1"/>
  <c r="AC83" i="8"/>
  <c r="AD83" i="8" s="1"/>
  <c r="AQ83" i="8"/>
  <c r="AP83" i="8"/>
  <c r="AN40" i="8"/>
  <c r="AO40" i="8" s="1"/>
  <c r="AF40" i="8"/>
  <c r="AG40" i="8" s="1"/>
  <c r="AI40" i="8" s="1"/>
  <c r="AK156" i="8"/>
  <c r="AL156" i="8" s="1"/>
  <c r="AC93" i="6"/>
  <c r="AD93" i="6" s="1"/>
  <c r="AC121" i="8"/>
  <c r="AD121" i="8" s="1"/>
  <c r="AP146" i="8"/>
  <c r="AC146" i="8"/>
  <c r="AD146" i="8" s="1"/>
  <c r="AQ146" i="8"/>
  <c r="AQ37" i="8"/>
  <c r="AP37" i="8"/>
  <c r="AC37" i="8"/>
  <c r="AD37" i="8" s="1"/>
  <c r="AQ71" i="8"/>
  <c r="AP71" i="8"/>
  <c r="AC71" i="8"/>
  <c r="AD71" i="8" s="1"/>
  <c r="AN37" i="8"/>
  <c r="AF37" i="8"/>
  <c r="AG37" i="8" s="1"/>
  <c r="AI37" i="8" s="1"/>
  <c r="AK29" i="8"/>
  <c r="AL29" i="8" s="1"/>
  <c r="AN79" i="8"/>
  <c r="AF79" i="8"/>
  <c r="AG79" i="8" s="1"/>
  <c r="AI79" i="8" s="1"/>
  <c r="AK43" i="8"/>
  <c r="AL43" i="8" s="1"/>
  <c r="AQ145" i="8"/>
  <c r="AP145" i="8"/>
  <c r="AC145" i="8"/>
  <c r="AD145" i="8" s="1"/>
  <c r="AN72" i="8"/>
  <c r="AO72" i="8" s="1"/>
  <c r="AF72" i="8"/>
  <c r="AG72" i="8" s="1"/>
  <c r="AI72" i="8" s="1"/>
  <c r="AC31" i="8"/>
  <c r="AD31" i="8" s="1"/>
  <c r="AQ31" i="8"/>
  <c r="AP31" i="8"/>
  <c r="AP28" i="8"/>
  <c r="AC28" i="8"/>
  <c r="AD28" i="8" s="1"/>
  <c r="AQ28" i="8"/>
  <c r="AN47" i="8"/>
  <c r="AO47" i="8" s="1"/>
  <c r="AF47" i="8"/>
  <c r="AG47" i="8" s="1"/>
  <c r="AI47" i="8" s="1"/>
  <c r="AQ51" i="8"/>
  <c r="AP51" i="8"/>
  <c r="AC51" i="8"/>
  <c r="AD51" i="8" s="1"/>
  <c r="AC61" i="8"/>
  <c r="AD61" i="8" s="1"/>
  <c r="AQ61" i="8"/>
  <c r="AP61" i="8"/>
  <c r="AK33" i="8"/>
  <c r="AL33" i="8" s="1"/>
  <c r="AK79" i="8"/>
  <c r="AL79" i="8" s="1"/>
  <c r="AG178" i="5"/>
  <c r="AH389" i="5"/>
  <c r="AF156" i="6"/>
  <c r="AG156" i="6" s="1"/>
  <c r="AI156" i="6" s="1"/>
  <c r="AK148" i="6"/>
  <c r="AL148" i="6" s="1"/>
  <c r="AH510" i="5"/>
  <c r="AP101" i="6"/>
  <c r="AF110" i="6"/>
  <c r="AG110" i="6" s="1"/>
  <c r="AI110" i="6" s="1"/>
  <c r="AP125" i="6"/>
  <c r="AH527" i="5"/>
  <c r="AK111" i="6"/>
  <c r="AL111" i="6" s="1"/>
  <c r="AQ101" i="6"/>
  <c r="AC125" i="6"/>
  <c r="AD125" i="6" s="1"/>
  <c r="AQ78" i="6"/>
  <c r="AH95" i="5"/>
  <c r="AG201" i="5"/>
  <c r="AN156" i="6"/>
  <c r="AO156" i="6" s="1"/>
  <c r="AP104" i="6"/>
  <c r="AC138" i="6"/>
  <c r="AD138" i="6" s="1"/>
  <c r="AG230" i="5"/>
  <c r="AG512" i="5"/>
  <c r="AP42" i="6"/>
  <c r="AH391" i="5"/>
  <c r="AH28" i="5"/>
  <c r="AG312" i="5"/>
  <c r="AG436" i="5"/>
  <c r="AK68" i="6"/>
  <c r="AL68" i="6" s="1"/>
  <c r="AG167" i="5"/>
  <c r="AG521" i="5"/>
  <c r="AG466" i="5"/>
  <c r="AG204" i="5"/>
  <c r="AG335" i="5"/>
  <c r="AH439" i="5"/>
  <c r="AH39" i="5"/>
  <c r="AG301" i="5"/>
  <c r="AN138" i="6"/>
  <c r="AN68" i="6"/>
  <c r="AQ42" i="6"/>
  <c r="AK138" i="6"/>
  <c r="AL138" i="6" s="1"/>
  <c r="AH416" i="5"/>
  <c r="AG27" i="5"/>
  <c r="AN142" i="6"/>
  <c r="AQ126" i="6"/>
  <c r="AG426" i="5"/>
  <c r="AH240" i="5"/>
  <c r="AN134" i="6"/>
  <c r="AK142" i="6"/>
  <c r="AL142" i="6" s="1"/>
  <c r="AK103" i="6"/>
  <c r="AL103" i="6" s="1"/>
  <c r="AO103" i="6" s="1"/>
  <c r="AC126" i="6"/>
  <c r="AD126" i="6" s="1"/>
  <c r="AG210" i="5"/>
  <c r="AK134" i="6"/>
  <c r="AL134" i="6" s="1"/>
  <c r="AF103" i="6"/>
  <c r="AG103" i="6" s="1"/>
  <c r="AI103" i="6" s="1"/>
  <c r="AC106" i="6"/>
  <c r="AD106" i="6" s="1"/>
  <c r="AG457" i="5"/>
  <c r="AH534" i="5"/>
  <c r="AH156" i="5"/>
  <c r="AP59" i="6"/>
  <c r="AG318" i="5"/>
  <c r="AC84" i="6"/>
  <c r="AD84" i="6" s="1"/>
  <c r="AG196" i="5"/>
  <c r="AH215" i="5"/>
  <c r="AG470" i="5"/>
  <c r="AH399" i="5"/>
  <c r="AG117" i="5"/>
  <c r="AH249" i="5"/>
  <c r="AH205" i="5"/>
  <c r="AP84" i="6"/>
  <c r="AC120" i="6"/>
  <c r="AD120" i="6" s="1"/>
  <c r="AP120" i="6"/>
  <c r="AF91" i="6"/>
  <c r="AG91" i="6" s="1"/>
  <c r="AI91" i="6" s="1"/>
  <c r="AQ109" i="6"/>
  <c r="AK91" i="6"/>
  <c r="AL91" i="6" s="1"/>
  <c r="AO91" i="6" s="1"/>
  <c r="AC59" i="6"/>
  <c r="AD59" i="6" s="1"/>
  <c r="AP109" i="6"/>
  <c r="AG126" i="5"/>
  <c r="AN39" i="6"/>
  <c r="AO39" i="6" s="1"/>
  <c r="AN80" i="6"/>
  <c r="AO80" i="6" s="1"/>
  <c r="AH231" i="5"/>
  <c r="AH465" i="5"/>
  <c r="AG281" i="5"/>
  <c r="AF112" i="6"/>
  <c r="AG112" i="6" s="1"/>
  <c r="AI112" i="6" s="1"/>
  <c r="AG161" i="5"/>
  <c r="AC134" i="6"/>
  <c r="AD134" i="6" s="1"/>
  <c r="AH353" i="5"/>
  <c r="AN49" i="6"/>
  <c r="AO49" i="6" s="1"/>
  <c r="AN111" i="6"/>
  <c r="AQ104" i="6"/>
  <c r="AK104" i="6"/>
  <c r="AL104" i="6" s="1"/>
  <c r="AF131" i="6"/>
  <c r="AG131" i="6" s="1"/>
  <c r="AI131" i="6" s="1"/>
  <c r="AC156" i="6"/>
  <c r="AD156" i="6" s="1"/>
  <c r="AF55" i="6"/>
  <c r="AG55" i="6" s="1"/>
  <c r="AI55" i="6" s="1"/>
  <c r="AH310" i="5"/>
  <c r="AG227" i="5"/>
  <c r="AH219" i="5"/>
  <c r="AG190" i="5"/>
  <c r="AG273" i="5"/>
  <c r="AH208" i="5"/>
  <c r="AH324" i="5"/>
  <c r="AP66" i="6"/>
  <c r="AH36" i="5"/>
  <c r="AG383" i="5"/>
  <c r="AH37" i="5"/>
  <c r="AG26" i="5"/>
  <c r="AH71" i="5"/>
  <c r="AH375" i="5"/>
  <c r="AG467" i="5"/>
  <c r="AH10" i="5"/>
  <c r="AG116" i="5"/>
  <c r="AG413" i="5"/>
  <c r="AG438" i="5"/>
  <c r="AG374" i="5"/>
  <c r="AG55" i="5"/>
  <c r="AG477" i="5"/>
  <c r="AG427" i="5"/>
  <c r="AG103" i="5"/>
  <c r="AH97" i="5"/>
  <c r="AG425" i="5"/>
  <c r="AG81" i="5"/>
  <c r="AG248" i="5"/>
  <c r="AG154" i="5"/>
  <c r="AG216" i="5"/>
  <c r="AG38" i="5"/>
  <c r="AG429" i="5"/>
  <c r="AG174" i="5"/>
  <c r="AG133" i="5"/>
  <c r="AQ106" i="6"/>
  <c r="AK99" i="6"/>
  <c r="AL99" i="6" s="1"/>
  <c r="AK131" i="6"/>
  <c r="AL131" i="6" s="1"/>
  <c r="AO131" i="6" s="1"/>
  <c r="AK58" i="6"/>
  <c r="AL58" i="6" s="1"/>
  <c r="AF99" i="6"/>
  <c r="AG99" i="6" s="1"/>
  <c r="AI99" i="6" s="1"/>
  <c r="AF51" i="6"/>
  <c r="AG51" i="6" s="1"/>
  <c r="AI51" i="6" s="1"/>
  <c r="AF80" i="6"/>
  <c r="AG80" i="6" s="1"/>
  <c r="AI80" i="6" s="1"/>
  <c r="AF39" i="6"/>
  <c r="AG39" i="6" s="1"/>
  <c r="AI39" i="6" s="1"/>
  <c r="AQ72" i="6"/>
  <c r="AC72" i="6"/>
  <c r="AD72" i="6" s="1"/>
  <c r="AG184" i="5"/>
  <c r="AH91" i="5"/>
  <c r="AH548" i="5"/>
  <c r="AP138" i="6"/>
  <c r="AC66" i="6"/>
  <c r="AD66" i="6" s="1"/>
  <c r="AN148" i="6"/>
  <c r="AH294" i="5"/>
  <c r="AG62" i="5"/>
  <c r="AQ146" i="6"/>
  <c r="AK81" i="6"/>
  <c r="AL81" i="6" s="1"/>
  <c r="AK76" i="6"/>
  <c r="AL76" i="6" s="1"/>
  <c r="AP80" i="6"/>
  <c r="AN81" i="6"/>
  <c r="AK59" i="6"/>
  <c r="AL59" i="6" s="1"/>
  <c r="AO59" i="6" s="1"/>
  <c r="AN153" i="6"/>
  <c r="AO153" i="6" s="1"/>
  <c r="AP148" i="6"/>
  <c r="AN76" i="6"/>
  <c r="AC80" i="6"/>
  <c r="AD80" i="6" s="1"/>
  <c r="AG47" i="5"/>
  <c r="AH147" i="5"/>
  <c r="AG370" i="5"/>
  <c r="AH325" i="5"/>
  <c r="AG44" i="5"/>
  <c r="AG405" i="5"/>
  <c r="AF59" i="6"/>
  <c r="AG59" i="6" s="1"/>
  <c r="AI59" i="6" s="1"/>
  <c r="AF67" i="6"/>
  <c r="AG67" i="6" s="1"/>
  <c r="AI67" i="6" s="1"/>
  <c r="AQ133" i="6"/>
  <c r="AQ148" i="6"/>
  <c r="AQ38" i="6"/>
  <c r="AC133" i="6"/>
  <c r="AD133" i="6" s="1"/>
  <c r="AP38" i="6"/>
  <c r="AK55" i="6"/>
  <c r="AL55" i="6" s="1"/>
  <c r="AO55" i="6" s="1"/>
  <c r="AC78" i="6"/>
  <c r="AD78" i="6" s="1"/>
  <c r="AQ93" i="6"/>
  <c r="AK51" i="6"/>
  <c r="AL51" i="6" s="1"/>
  <c r="AO51" i="6" s="1"/>
  <c r="AK126" i="6"/>
  <c r="AL126" i="6" s="1"/>
  <c r="AO126" i="6" s="1"/>
  <c r="AG300" i="5"/>
  <c r="AH471" i="5"/>
  <c r="AN127" i="6"/>
  <c r="AO127" i="6" s="1"/>
  <c r="AK107" i="6"/>
  <c r="AL107" i="6" s="1"/>
  <c r="AK149" i="6"/>
  <c r="AL149" i="6" s="1"/>
  <c r="AK92" i="6"/>
  <c r="AL92" i="6" s="1"/>
  <c r="AF118" i="6"/>
  <c r="AG118" i="6" s="1"/>
  <c r="AI118" i="6" s="1"/>
  <c r="AK122" i="6"/>
  <c r="AL122" i="6" s="1"/>
  <c r="AH163" i="5"/>
  <c r="AH131" i="5"/>
  <c r="AF126" i="6"/>
  <c r="AG126" i="6" s="1"/>
  <c r="AI126" i="6" s="1"/>
  <c r="AK101" i="6"/>
  <c r="AL101" i="6" s="1"/>
  <c r="AG77" i="5"/>
  <c r="AF53" i="6"/>
  <c r="AG53" i="6" s="1"/>
  <c r="AI53" i="6" s="1"/>
  <c r="AN101" i="6"/>
  <c r="AG440" i="5"/>
  <c r="AQ121" i="6"/>
  <c r="AH451" i="5"/>
  <c r="AF86" i="6"/>
  <c r="AG86" i="6" s="1"/>
  <c r="AI86" i="6" s="1"/>
  <c r="AG40" i="5"/>
  <c r="AG29" i="5"/>
  <c r="AH404" i="5"/>
  <c r="AP127" i="6"/>
  <c r="AH410" i="5"/>
  <c r="AG172" i="5"/>
  <c r="AG396" i="5"/>
  <c r="AH329" i="5"/>
  <c r="AG496" i="5"/>
  <c r="AH244" i="5"/>
  <c r="AH7" i="5"/>
  <c r="AH352" i="5"/>
  <c r="AN53" i="6"/>
  <c r="AO53" i="6" s="1"/>
  <c r="AN122" i="6"/>
  <c r="AP74" i="6"/>
  <c r="AN107" i="6"/>
  <c r="AG207" i="5"/>
  <c r="AG150" i="5"/>
  <c r="AH340" i="5"/>
  <c r="AN149" i="6"/>
  <c r="AN92" i="6"/>
  <c r="AF127" i="6"/>
  <c r="AG127" i="6" s="1"/>
  <c r="AI127" i="6" s="1"/>
  <c r="AH105" i="5"/>
  <c r="AG514" i="5"/>
  <c r="AQ51" i="6"/>
  <c r="AP65" i="6"/>
  <c r="AN118" i="6"/>
  <c r="AO118" i="6" s="1"/>
  <c r="AG251" i="5"/>
  <c r="AK95" i="6"/>
  <c r="AL95" i="6" s="1"/>
  <c r="AO95" i="6" s="1"/>
  <c r="AC51" i="6"/>
  <c r="AD51" i="6" s="1"/>
  <c r="AC119" i="6"/>
  <c r="AD119" i="6" s="1"/>
  <c r="AC65" i="6"/>
  <c r="AD65" i="6" s="1"/>
  <c r="AG130" i="5"/>
  <c r="AC146" i="6"/>
  <c r="AD146" i="6" s="1"/>
  <c r="AF95" i="6"/>
  <c r="AG95" i="6" s="1"/>
  <c r="AI95" i="6" s="1"/>
  <c r="AK137" i="6"/>
  <c r="AL137" i="6" s="1"/>
  <c r="AP67" i="6"/>
  <c r="AK75" i="6"/>
  <c r="AL75" i="6" s="1"/>
  <c r="AO75" i="6" s="1"/>
  <c r="AQ92" i="6"/>
  <c r="AH535" i="5"/>
  <c r="AG493" i="5"/>
  <c r="AC92" i="6"/>
  <c r="AD92" i="6" s="1"/>
  <c r="AK86" i="6"/>
  <c r="AL86" i="6" s="1"/>
  <c r="AO86" i="6" s="1"/>
  <c r="AK63" i="6"/>
  <c r="AL63" i="6" s="1"/>
  <c r="AH288" i="5"/>
  <c r="AG22" i="5"/>
  <c r="AH424" i="5"/>
  <c r="AN63" i="6"/>
  <c r="AH511" i="5"/>
  <c r="AG380" i="5"/>
  <c r="AG187" i="5"/>
  <c r="AH488" i="5"/>
  <c r="AN109" i="6"/>
  <c r="AQ55" i="6"/>
  <c r="AF153" i="6"/>
  <c r="AG153" i="6" s="1"/>
  <c r="AI153" i="6" s="1"/>
  <c r="AN60" i="6"/>
  <c r="AN77" i="6"/>
  <c r="AO77" i="6" s="1"/>
  <c r="AF133" i="6"/>
  <c r="AG133" i="6" s="1"/>
  <c r="AI133" i="6" s="1"/>
  <c r="AG115" i="5"/>
  <c r="AH203" i="5"/>
  <c r="AK109" i="6"/>
  <c r="AL109" i="6" s="1"/>
  <c r="AP55" i="6"/>
  <c r="AK133" i="6"/>
  <c r="AL133" i="6" s="1"/>
  <c r="AO133" i="6" s="1"/>
  <c r="AF75" i="6"/>
  <c r="AG75" i="6" s="1"/>
  <c r="AI75" i="6" s="1"/>
  <c r="AH224" i="5"/>
  <c r="AH499" i="5"/>
  <c r="AH225" i="5"/>
  <c r="AG146" i="5"/>
  <c r="AH148" i="5"/>
  <c r="AP111" i="6"/>
  <c r="AN152" i="6"/>
  <c r="AC75" i="6"/>
  <c r="AD75" i="6" s="1"/>
  <c r="AH93" i="5"/>
  <c r="AH245" i="5"/>
  <c r="AH508" i="5"/>
  <c r="AF152" i="6"/>
  <c r="AG152" i="6" s="1"/>
  <c r="AI152" i="6" s="1"/>
  <c r="AQ39" i="6"/>
  <c r="AQ75" i="6"/>
  <c r="AG377" i="5"/>
  <c r="AC112" i="6"/>
  <c r="AD112" i="6" s="1"/>
  <c r="AP39" i="6"/>
  <c r="AQ155" i="6"/>
  <c r="AN74" i="6"/>
  <c r="AO74" i="6" s="1"/>
  <c r="AP155" i="6"/>
  <c r="AF74" i="6"/>
  <c r="AG74" i="6" s="1"/>
  <c r="AI74" i="6" s="1"/>
  <c r="AG222" i="5"/>
  <c r="AH87" i="5"/>
  <c r="AQ127" i="6"/>
  <c r="AH326" i="5"/>
  <c r="AH278" i="5"/>
  <c r="AC74" i="6"/>
  <c r="AD74" i="6" s="1"/>
  <c r="AQ119" i="6"/>
  <c r="AN67" i="6"/>
  <c r="AO67" i="6" s="1"/>
  <c r="AN58" i="6"/>
  <c r="AF77" i="6"/>
  <c r="AG77" i="6" s="1"/>
  <c r="AI77" i="6" s="1"/>
  <c r="AF140" i="6"/>
  <c r="AG140" i="6" s="1"/>
  <c r="AI140" i="6" s="1"/>
  <c r="AQ67" i="6"/>
  <c r="AH341" i="5"/>
  <c r="AG274" i="5"/>
  <c r="AH186" i="5"/>
  <c r="AH355" i="5"/>
  <c r="AH292" i="5"/>
  <c r="AG259" i="5"/>
  <c r="AH164" i="5"/>
  <c r="AH100" i="5"/>
  <c r="AH102" i="5"/>
  <c r="AG193" i="5"/>
  <c r="AC63" i="6"/>
  <c r="AD63" i="6" s="1"/>
  <c r="AK60" i="6"/>
  <c r="AL60" i="6" s="1"/>
  <c r="AG291" i="5"/>
  <c r="AH135" i="5"/>
  <c r="AG297" i="5"/>
  <c r="AG343" i="5"/>
  <c r="AN97" i="6"/>
  <c r="AP63" i="6"/>
  <c r="AG50" i="5"/>
  <c r="AH314" i="5"/>
  <c r="AG84" i="5"/>
  <c r="AP53" i="6"/>
  <c r="AH217" i="5"/>
  <c r="AG323" i="5"/>
  <c r="AH275" i="5"/>
  <c r="AG520" i="5"/>
  <c r="AG354" i="5"/>
  <c r="AG118" i="5"/>
  <c r="AG233" i="5"/>
  <c r="AH367" i="5"/>
  <c r="AG220" i="5"/>
  <c r="AQ53" i="6"/>
  <c r="AK155" i="6"/>
  <c r="AL155" i="6" s="1"/>
  <c r="AO155" i="6" s="1"/>
  <c r="AG43" i="5"/>
  <c r="AG182" i="5"/>
  <c r="AG362" i="5"/>
  <c r="AF155" i="6"/>
  <c r="AG155" i="6" s="1"/>
  <c r="AI155" i="6" s="1"/>
  <c r="AH165" i="5"/>
  <c r="AG234" i="5"/>
  <c r="AG476" i="5"/>
  <c r="AH57" i="5"/>
  <c r="AG350" i="5"/>
  <c r="AH386" i="5"/>
  <c r="AG64" i="5"/>
  <c r="AQ68" i="6"/>
  <c r="AG13" i="5"/>
  <c r="AG289" i="5"/>
  <c r="AP68" i="6"/>
  <c r="AG418" i="5"/>
  <c r="AG485" i="5"/>
  <c r="AH347" i="5"/>
  <c r="AH159" i="5"/>
  <c r="AG32" i="5"/>
  <c r="AH290" i="5"/>
  <c r="AH385" i="5"/>
  <c r="AH489" i="5"/>
  <c r="AH140" i="5"/>
  <c r="AH270" i="5"/>
  <c r="AH269" i="5"/>
  <c r="AQ156" i="6"/>
  <c r="AG286" i="5"/>
  <c r="AG522" i="5"/>
  <c r="AH409" i="5"/>
  <c r="AH111" i="5"/>
  <c r="AH239" i="5"/>
  <c r="AH406" i="5"/>
  <c r="AH495" i="5"/>
  <c r="AG139" i="5"/>
  <c r="AH491" i="5"/>
  <c r="AH460" i="5"/>
  <c r="AH537" i="5"/>
  <c r="AG351" i="5"/>
  <c r="AH293" i="5"/>
  <c r="AH322" i="5"/>
  <c r="AH155" i="5"/>
  <c r="AG327" i="5"/>
  <c r="AG237" i="5"/>
  <c r="AC136" i="6"/>
  <c r="AD136" i="6" s="1"/>
  <c r="AH277" i="5"/>
  <c r="AP142" i="6"/>
  <c r="AF45" i="6"/>
  <c r="AG45" i="6" s="1"/>
  <c r="AI45" i="6" s="1"/>
  <c r="AK124" i="6"/>
  <c r="AL124" i="6" s="1"/>
  <c r="AG541" i="5"/>
  <c r="AP122" i="6"/>
  <c r="AP60" i="6"/>
  <c r="AK45" i="6"/>
  <c r="AL45" i="6" s="1"/>
  <c r="AO45" i="6" s="1"/>
  <c r="AC122" i="6"/>
  <c r="AD122" i="6" s="1"/>
  <c r="AQ136" i="6"/>
  <c r="AC60" i="6"/>
  <c r="AD60" i="6" s="1"/>
  <c r="AN38" i="6"/>
  <c r="AN102" i="6"/>
  <c r="AN124" i="6"/>
  <c r="AK38" i="6"/>
  <c r="AL38" i="6" s="1"/>
  <c r="AP147" i="6"/>
  <c r="AP77" i="6"/>
  <c r="AP85" i="6"/>
  <c r="AG321" i="5"/>
  <c r="AG372" i="5"/>
  <c r="AQ147" i="6"/>
  <c r="AC142" i="6"/>
  <c r="AD142" i="6" s="1"/>
  <c r="AC77" i="6"/>
  <c r="AD77" i="6" s="1"/>
  <c r="AC150" i="6"/>
  <c r="AD150" i="6" s="1"/>
  <c r="AG317" i="5"/>
  <c r="AG256" i="5"/>
  <c r="AH356" i="5"/>
  <c r="AH311" i="5"/>
  <c r="AG549" i="5"/>
  <c r="AH502" i="5"/>
  <c r="AH531" i="5"/>
  <c r="AG468" i="5"/>
  <c r="AG169" i="5"/>
  <c r="AG128" i="5"/>
  <c r="AG85" i="5"/>
  <c r="AH448" i="5"/>
  <c r="AH121" i="5"/>
  <c r="AH65" i="5"/>
  <c r="AG393" i="5"/>
  <c r="AG48" i="5"/>
  <c r="AH223" i="5"/>
  <c r="AG412" i="5"/>
  <c r="AH363" i="5"/>
  <c r="AG263" i="5"/>
  <c r="AH261" i="5"/>
  <c r="AG170" i="5"/>
  <c r="AH132" i="5"/>
  <c r="AG500" i="5"/>
  <c r="AH545" i="5"/>
  <c r="AH73" i="5"/>
  <c r="AG401" i="5"/>
  <c r="AH529" i="5"/>
  <c r="AG473" i="5"/>
  <c r="AG252" i="5"/>
  <c r="AG285" i="5"/>
  <c r="AG241" i="5"/>
  <c r="AH80" i="5"/>
  <c r="AH542" i="5"/>
  <c r="AH461" i="5"/>
  <c r="AH287" i="5"/>
  <c r="AG492" i="5"/>
  <c r="AH75" i="5"/>
  <c r="AG423" i="5"/>
  <c r="AG88" i="5"/>
  <c r="AG484" i="5"/>
  <c r="AH96" i="5"/>
  <c r="AH8" i="5"/>
  <c r="AG149" i="5"/>
  <c r="AH68" i="5"/>
  <c r="AG151" i="5"/>
  <c r="AG505" i="5"/>
  <c r="AH458" i="5"/>
  <c r="AG127" i="5"/>
  <c r="AG74" i="5"/>
  <c r="AH280" i="5"/>
  <c r="AG209" i="5"/>
  <c r="AH191" i="5"/>
  <c r="AH371" i="5"/>
  <c r="AG464" i="5"/>
  <c r="AH501" i="5"/>
  <c r="AG101" i="5"/>
  <c r="AG308" i="5"/>
  <c r="AH443" i="5"/>
  <c r="AG175" i="5"/>
  <c r="AN112" i="6"/>
  <c r="AO112" i="6" s="1"/>
  <c r="AK136" i="6"/>
  <c r="AL136" i="6" s="1"/>
  <c r="AO136" i="6" s="1"/>
  <c r="AG494" i="5"/>
  <c r="AH33" i="5"/>
  <c r="AG188" i="5"/>
  <c r="AG99" i="5"/>
  <c r="AH444" i="5"/>
  <c r="AC95" i="6"/>
  <c r="AD95" i="6" s="1"/>
  <c r="AF136" i="6"/>
  <c r="AG136" i="6" s="1"/>
  <c r="AI136" i="6" s="1"/>
  <c r="AH462" i="5"/>
  <c r="AG334" i="5"/>
  <c r="AH408" i="5"/>
  <c r="AH475" i="5"/>
  <c r="AG560" i="5"/>
  <c r="AP95" i="6"/>
  <c r="AN121" i="6"/>
  <c r="AG21" i="5"/>
  <c r="AG86" i="5"/>
  <c r="AG365" i="5"/>
  <c r="AH160" i="5"/>
  <c r="AH419" i="5"/>
  <c r="AH180" i="5"/>
  <c r="AH120" i="5"/>
  <c r="AG162" i="5"/>
  <c r="AH250" i="5"/>
  <c r="AG268" i="5"/>
  <c r="AH214" i="5"/>
  <c r="AF84" i="6"/>
  <c r="AG84" i="6" s="1"/>
  <c r="AI84" i="6" s="1"/>
  <c r="AC114" i="6"/>
  <c r="AD114" i="6" s="1"/>
  <c r="AG452" i="5"/>
  <c r="AG364" i="5"/>
  <c r="AN84" i="6"/>
  <c r="AO84" i="6" s="1"/>
  <c r="AC61" i="6"/>
  <c r="AD61" i="6" s="1"/>
  <c r="AG486" i="5"/>
  <c r="AG157" i="5"/>
  <c r="AG339" i="5"/>
  <c r="AG254" i="5"/>
  <c r="AG198" i="5"/>
  <c r="AG258" i="5"/>
  <c r="AP61" i="6"/>
  <c r="AH517" i="5"/>
  <c r="AK154" i="6"/>
  <c r="AL154" i="6" s="1"/>
  <c r="AO154" i="6" s="1"/>
  <c r="AH58" i="5"/>
  <c r="AG398" i="5"/>
  <c r="AG257" i="5"/>
  <c r="AG113" i="5"/>
  <c r="AF154" i="6"/>
  <c r="AG154" i="6" s="1"/>
  <c r="AI154" i="6" s="1"/>
  <c r="AH422" i="5"/>
  <c r="AG66" i="5"/>
  <c r="AG179" i="5"/>
  <c r="AH109" i="5"/>
  <c r="AG359" i="5"/>
  <c r="AG553" i="5"/>
  <c r="AH446" i="5"/>
  <c r="AH509" i="5"/>
  <c r="AG407" i="5"/>
  <c r="AG358" i="5"/>
  <c r="AG513" i="5"/>
  <c r="AQ111" i="6"/>
  <c r="AP58" i="6"/>
  <c r="AN61" i="6"/>
  <c r="AQ58" i="6"/>
  <c r="AK61" i="6"/>
  <c r="AL61" i="6" s="1"/>
  <c r="AN145" i="6"/>
  <c r="AC140" i="6"/>
  <c r="AD140" i="6" s="1"/>
  <c r="AQ137" i="6"/>
  <c r="AN69" i="6"/>
  <c r="AO69" i="6" s="1"/>
  <c r="AK145" i="6"/>
  <c r="AL145" i="6" s="1"/>
  <c r="AP140" i="6"/>
  <c r="AP137" i="6"/>
  <c r="AF69" i="6"/>
  <c r="AG69" i="6" s="1"/>
  <c r="AI69" i="6" s="1"/>
  <c r="AN116" i="6"/>
  <c r="AG320" i="5"/>
  <c r="AK116" i="6"/>
  <c r="AL116" i="6" s="1"/>
  <c r="AG431" i="5"/>
  <c r="AF66" i="6"/>
  <c r="AG66" i="6" s="1"/>
  <c r="AI66" i="6" s="1"/>
  <c r="AF102" i="6"/>
  <c r="AG102" i="6" s="1"/>
  <c r="AI102" i="6" s="1"/>
  <c r="AG487" i="5"/>
  <c r="AG123" i="5"/>
  <c r="AN66" i="6"/>
  <c r="AO66" i="6" s="1"/>
  <c r="AP107" i="6"/>
  <c r="AN71" i="6"/>
  <c r="AO71" i="6" s="1"/>
  <c r="AH497" i="5"/>
  <c r="AG523" i="5"/>
  <c r="AC69" i="6"/>
  <c r="AD69" i="6" s="1"/>
  <c r="AC107" i="6"/>
  <c r="AD107" i="6" s="1"/>
  <c r="AF71" i="6"/>
  <c r="AG71" i="6" s="1"/>
  <c r="AI71" i="6" s="1"/>
  <c r="AG543" i="5"/>
  <c r="AH136" i="5"/>
  <c r="AG34" i="5"/>
  <c r="AH53" i="5"/>
  <c r="AG378" i="5"/>
  <c r="AH402" i="5"/>
  <c r="AP69" i="6"/>
  <c r="AN106" i="6"/>
  <c r="AG430" i="5"/>
  <c r="AF113" i="6"/>
  <c r="AG113" i="6" s="1"/>
  <c r="AI113" i="6" s="1"/>
  <c r="AK106" i="6"/>
  <c r="AL106" i="6" s="1"/>
  <c r="AK113" i="6"/>
  <c r="AL113" i="6" s="1"/>
  <c r="AO113" i="6" s="1"/>
  <c r="AG503" i="5"/>
  <c r="AH189" i="5"/>
  <c r="AP154" i="6"/>
  <c r="AG384" i="5"/>
  <c r="AN137" i="6"/>
  <c r="AG539" i="5"/>
  <c r="AG122" i="5"/>
  <c r="AC81" i="6"/>
  <c r="AD81" i="6" s="1"/>
  <c r="AC45" i="6"/>
  <c r="AD45" i="6" s="1"/>
  <c r="AH226" i="5"/>
  <c r="AQ81" i="6"/>
  <c r="AP45" i="6"/>
  <c r="AQ154" i="6"/>
  <c r="AG235" i="5"/>
  <c r="AH307" i="5"/>
  <c r="AH199" i="5"/>
  <c r="AN147" i="6"/>
  <c r="AO147" i="6" s="1"/>
  <c r="AP113" i="6"/>
  <c r="AF147" i="6"/>
  <c r="AG147" i="6" s="1"/>
  <c r="AI147" i="6" s="1"/>
  <c r="AQ113" i="6"/>
  <c r="AH483" i="5"/>
  <c r="AH56" i="5"/>
  <c r="AG212" i="5"/>
  <c r="AG104" i="5"/>
  <c r="AG552" i="5"/>
  <c r="AH46" i="5"/>
  <c r="AG411" i="5"/>
  <c r="AG45" i="5"/>
  <c r="AQ117" i="6"/>
  <c r="AG390" i="5"/>
  <c r="AG145" i="5"/>
  <c r="AG206" i="5"/>
  <c r="AH143" i="5"/>
  <c r="AP118" i="6"/>
  <c r="AG242" i="5"/>
  <c r="AH72" i="5"/>
  <c r="AG348" i="5"/>
  <c r="AH279" i="5"/>
  <c r="AG171" i="5"/>
  <c r="AH540" i="5"/>
  <c r="AH176" i="5"/>
  <c r="AG316" i="5"/>
  <c r="AG526" i="5"/>
  <c r="AG360" i="5"/>
  <c r="AH449" i="5"/>
  <c r="AG283" i="5"/>
  <c r="AH194" i="5"/>
  <c r="AG59" i="5"/>
  <c r="AH142" i="5"/>
  <c r="AG63" i="5"/>
  <c r="AH76" i="5"/>
  <c r="AG479" i="5"/>
  <c r="AG337" i="5"/>
  <c r="AH221" i="5"/>
  <c r="AH82" i="5"/>
  <c r="AG276" i="5"/>
  <c r="AH544" i="5"/>
  <c r="AH480" i="5"/>
  <c r="AG83" i="5"/>
  <c r="AH328" i="5"/>
  <c r="AG313" i="5"/>
  <c r="AG331" i="5"/>
  <c r="AC131" i="6"/>
  <c r="AD131" i="6" s="1"/>
  <c r="AC116" i="6"/>
  <c r="AD116" i="6" s="1"/>
  <c r="AG454" i="5"/>
  <c r="AQ131" i="6"/>
  <c r="AQ116" i="6"/>
  <c r="AG345" i="5"/>
  <c r="AH267" i="5"/>
  <c r="AG124" i="5"/>
  <c r="AG173" i="5"/>
  <c r="AG559" i="5"/>
  <c r="AP153" i="6"/>
  <c r="AG70" i="5"/>
  <c r="AG309" i="5"/>
  <c r="AG546" i="5"/>
  <c r="AG185" i="5"/>
  <c r="AH262" i="5"/>
  <c r="AH455" i="5"/>
  <c r="AH342" i="5"/>
  <c r="AG202" i="5"/>
  <c r="AG255" i="5"/>
  <c r="AH554" i="5"/>
  <c r="AH447" i="5"/>
  <c r="AC153" i="6"/>
  <c r="AD153" i="6" s="1"/>
  <c r="AG24" i="5"/>
  <c r="AG183" i="5"/>
  <c r="AH243" i="5"/>
  <c r="AG284" i="5"/>
  <c r="AG456" i="5"/>
  <c r="AG125" i="5"/>
  <c r="AH463" i="5"/>
  <c r="AH302" i="5"/>
  <c r="AH211" i="5"/>
  <c r="AH481" i="5"/>
  <c r="AH20" i="5"/>
  <c r="AH382" i="5"/>
  <c r="AH271" i="5"/>
  <c r="AH94" i="5"/>
  <c r="AG166" i="5"/>
  <c r="AG366" i="5"/>
  <c r="AH506" i="5"/>
  <c r="AG119" i="5"/>
  <c r="AC118" i="6"/>
  <c r="AD118" i="6" s="1"/>
  <c r="AH551" i="5"/>
  <c r="AH482" i="5"/>
  <c r="AP117" i="6"/>
  <c r="AQ71" i="6"/>
  <c r="AP71" i="6"/>
  <c r="AJ20" i="6"/>
  <c r="AK20" i="6"/>
  <c r="AL20" i="6" s="1"/>
  <c r="AO20" i="6" s="1"/>
  <c r="AJ25" i="6"/>
  <c r="AK25" i="6"/>
  <c r="AL25" i="6" s="1"/>
  <c r="AJ16" i="6"/>
  <c r="AK16" i="6"/>
  <c r="AL16" i="6" s="1"/>
  <c r="AO16" i="6" s="1"/>
  <c r="AJ9" i="6"/>
  <c r="AK9" i="6"/>
  <c r="AL9" i="6" s="1"/>
  <c r="AO9" i="6" s="1"/>
  <c r="AJ19" i="6"/>
  <c r="AK19" i="6"/>
  <c r="AL19" i="6" s="1"/>
  <c r="AJ28" i="6"/>
  <c r="AK28" i="6"/>
  <c r="AL28" i="6" s="1"/>
  <c r="AO28" i="6" s="1"/>
  <c r="AJ13" i="6"/>
  <c r="AK13" i="6"/>
  <c r="AL13" i="6" s="1"/>
  <c r="AO13" i="6" s="1"/>
  <c r="AJ33" i="6"/>
  <c r="AK33" i="6"/>
  <c r="AL33" i="6" s="1"/>
  <c r="AO33" i="6" s="1"/>
  <c r="AJ12" i="6"/>
  <c r="AK12" i="6"/>
  <c r="AL12" i="6" s="1"/>
  <c r="AO12" i="6" s="1"/>
  <c r="AJ27" i="6"/>
  <c r="AK27" i="6"/>
  <c r="AL27" i="6" s="1"/>
  <c r="AO27" i="6" s="1"/>
  <c r="AJ15" i="6"/>
  <c r="AK15" i="6"/>
  <c r="AL15" i="6" s="1"/>
  <c r="AO15" i="6" s="1"/>
  <c r="AJ34" i="6"/>
  <c r="AK34" i="6"/>
  <c r="AL34" i="6" s="1"/>
  <c r="AO34" i="6" s="1"/>
  <c r="AJ31" i="6"/>
  <c r="AK31" i="6"/>
  <c r="AL31" i="6" s="1"/>
  <c r="AO31" i="6" s="1"/>
  <c r="AJ35" i="6"/>
  <c r="AK35" i="6"/>
  <c r="AL35" i="6" s="1"/>
  <c r="AO35" i="6" s="1"/>
  <c r="AJ26" i="6"/>
  <c r="AK26" i="6"/>
  <c r="AL26" i="6" s="1"/>
  <c r="AJ11" i="6"/>
  <c r="AK11" i="6"/>
  <c r="AL11" i="6" s="1"/>
  <c r="AJ8" i="6"/>
  <c r="AK8" i="6"/>
  <c r="AL8" i="6" s="1"/>
  <c r="AO8" i="6" s="1"/>
  <c r="AJ22" i="6"/>
  <c r="AK22" i="6"/>
  <c r="AL22" i="6" s="1"/>
  <c r="AO22" i="6" s="1"/>
  <c r="AJ18" i="6"/>
  <c r="AK18" i="6"/>
  <c r="AL18" i="6" s="1"/>
  <c r="AJ30" i="6"/>
  <c r="AK30" i="6"/>
  <c r="AL30" i="6" s="1"/>
  <c r="AO30" i="6" s="1"/>
  <c r="AJ29" i="6"/>
  <c r="AK29" i="6"/>
  <c r="AL29" i="6" s="1"/>
  <c r="AJ23" i="6"/>
  <c r="AK23" i="6"/>
  <c r="AL23" i="6" s="1"/>
  <c r="AJ17" i="6"/>
  <c r="AK17" i="6"/>
  <c r="AL17" i="6" s="1"/>
  <c r="AO17" i="6" s="1"/>
  <c r="AJ14" i="6"/>
  <c r="AK14" i="6"/>
  <c r="AL14" i="6" s="1"/>
  <c r="AJ21" i="6"/>
  <c r="AK21" i="6"/>
  <c r="AL21" i="6" s="1"/>
  <c r="AO21" i="6" s="1"/>
  <c r="AJ10" i="6"/>
  <c r="AK10" i="6"/>
  <c r="AL10" i="6" s="1"/>
  <c r="AO10" i="6" s="1"/>
  <c r="AJ36" i="6"/>
  <c r="AK36" i="6"/>
  <c r="AL36" i="6" s="1"/>
  <c r="AO36" i="6" s="1"/>
  <c r="AJ32" i="6"/>
  <c r="AK32" i="6"/>
  <c r="AL32" i="6" s="1"/>
  <c r="AO32" i="6" s="1"/>
  <c r="AJ24" i="6"/>
  <c r="AK24" i="6"/>
  <c r="AL24" i="6" s="1"/>
  <c r="AO24" i="6" s="1"/>
  <c r="AH61" i="5"/>
  <c r="AG453" i="5"/>
  <c r="AH213" i="5"/>
  <c r="AG89" i="5"/>
  <c r="AG459" i="5"/>
  <c r="AH25" i="5"/>
  <c r="AH555" i="5"/>
  <c r="AH144" i="5"/>
  <c r="AG78" i="5"/>
  <c r="AH319" i="5"/>
  <c r="AG498" i="5"/>
  <c r="AH469" i="5"/>
  <c r="AH394" i="5"/>
  <c r="AH346" i="5"/>
  <c r="AG177" i="5"/>
  <c r="AG69" i="5"/>
  <c r="AH381" i="5"/>
  <c r="AH472" i="5"/>
  <c r="AG282" i="5"/>
  <c r="AG238" i="5"/>
  <c r="AH137" i="5"/>
  <c r="AH490" i="5"/>
  <c r="AH98" i="5"/>
  <c r="AG315" i="5"/>
  <c r="AG129" i="5"/>
  <c r="AH432" i="5"/>
  <c r="AG200" i="5"/>
  <c r="AG295" i="5"/>
  <c r="AH228" i="5"/>
  <c r="AH90" i="5"/>
  <c r="AH114" i="5"/>
  <c r="AG67" i="5"/>
  <c r="AG298" i="5"/>
  <c r="AH332" i="5"/>
  <c r="AG536" i="5"/>
  <c r="AG42" i="5"/>
  <c r="AG556" i="5"/>
  <c r="AG392" i="5"/>
  <c r="AG272" i="5"/>
  <c r="AH49" i="5"/>
  <c r="AG379" i="5"/>
  <c r="AH253" i="5"/>
  <c r="AG525" i="5"/>
  <c r="AG434" i="5"/>
  <c r="AG388" i="5"/>
  <c r="AG51" i="5"/>
  <c r="AH35" i="5"/>
  <c r="AH110" i="5"/>
  <c r="AG403" i="5"/>
  <c r="AH519" i="5"/>
  <c r="AH168" i="5"/>
  <c r="AG305" i="5"/>
  <c r="AG304" i="5"/>
  <c r="AG92" i="5"/>
  <c r="AG441" i="5"/>
  <c r="AG400" i="5"/>
  <c r="AG247" i="5"/>
  <c r="AH60" i="5"/>
  <c r="AG236" i="5"/>
  <c r="AG421" i="5"/>
  <c r="AH524" i="5"/>
  <c r="AH112" i="5"/>
  <c r="AG192" i="5"/>
  <c r="AG264" i="5"/>
  <c r="AH138" i="5"/>
  <c r="AG518" i="5"/>
  <c r="AG547" i="5"/>
  <c r="AG299" i="5"/>
  <c r="AG195" i="5"/>
  <c r="AG52" i="5"/>
  <c r="AH395" i="5"/>
  <c r="AG296" i="5"/>
  <c r="AG260" i="5"/>
  <c r="AG265" i="5"/>
  <c r="AH557" i="5"/>
  <c r="AG428" i="5"/>
  <c r="AG373" i="5"/>
  <c r="AG387" i="5"/>
  <c r="AG433" i="5"/>
  <c r="AG181" i="5"/>
  <c r="AG417" i="5"/>
  <c r="AG361" i="5"/>
  <c r="AH336" i="5"/>
  <c r="AG306" i="5"/>
  <c r="AG474" i="5"/>
  <c r="AH153" i="5"/>
  <c r="AG330" i="5"/>
  <c r="AH19" i="5"/>
  <c r="AG435" i="5"/>
  <c r="AH197" i="5"/>
  <c r="AH108" i="5"/>
  <c r="AG152" i="5"/>
  <c r="AH530" i="5"/>
  <c r="AG357" i="5"/>
  <c r="AG445" i="5"/>
  <c r="AG23" i="5"/>
  <c r="AG349" i="5"/>
  <c r="AG266" i="5"/>
  <c r="AG442" i="5"/>
  <c r="AH420" i="5"/>
  <c r="AH333" i="5"/>
  <c r="AG533" i="5"/>
  <c r="AG532" i="5"/>
  <c r="AH478" i="5"/>
  <c r="AH303" i="5"/>
  <c r="AG344" i="5"/>
  <c r="AH218" i="5"/>
  <c r="AG376" i="5"/>
  <c r="AG550" i="5"/>
  <c r="AH368" i="5"/>
  <c r="AG450" i="5"/>
  <c r="AG369" i="5"/>
  <c r="AH338" i="5"/>
  <c r="AG414" i="5"/>
  <c r="AH504" i="5"/>
  <c r="AG437" i="5"/>
  <c r="AG415" i="5"/>
  <c r="V548" i="5"/>
  <c r="V559" i="5"/>
  <c r="V282" i="5"/>
  <c r="V320" i="5"/>
  <c r="V500" i="5"/>
  <c r="V407" i="5"/>
  <c r="V385" i="5"/>
  <c r="V493" i="5"/>
  <c r="V421" i="5"/>
  <c r="V518" i="5"/>
  <c r="V449" i="5"/>
  <c r="V94" i="5"/>
  <c r="V233" i="5"/>
  <c r="V141" i="5"/>
  <c r="V371" i="5"/>
  <c r="V137" i="5"/>
  <c r="V208" i="5"/>
  <c r="V261" i="5"/>
  <c r="V125" i="5"/>
  <c r="V408" i="5"/>
  <c r="V35" i="5"/>
  <c r="V92" i="5"/>
  <c r="V269" i="5"/>
  <c r="V20" i="5"/>
  <c r="V109" i="5"/>
  <c r="V57" i="5"/>
  <c r="V45" i="5"/>
  <c r="V82" i="5"/>
  <c r="V161" i="5"/>
  <c r="V111" i="5"/>
  <c r="V200" i="5"/>
  <c r="V81" i="5"/>
  <c r="V46" i="5"/>
  <c r="V203" i="5"/>
  <c r="V163" i="5"/>
  <c r="V543" i="5"/>
  <c r="V539" i="5"/>
  <c r="V513" i="5"/>
  <c r="V306" i="5"/>
  <c r="V482" i="5"/>
  <c r="V316" i="5"/>
  <c r="V378" i="5"/>
  <c r="V459" i="5"/>
  <c r="V415" i="5"/>
  <c r="V512" i="5"/>
  <c r="V348" i="5"/>
  <c r="V87" i="5"/>
  <c r="V159" i="5"/>
  <c r="V132" i="5"/>
  <c r="V257" i="5"/>
  <c r="V91" i="5"/>
  <c r="V198" i="5"/>
  <c r="V220" i="5"/>
  <c r="V191" i="5"/>
  <c r="V84" i="5"/>
  <c r="V65" i="5"/>
  <c r="V540" i="5"/>
  <c r="V555" i="5"/>
  <c r="V477" i="5"/>
  <c r="V276" i="5"/>
  <c r="V454" i="5"/>
  <c r="V504" i="5"/>
  <c r="V369" i="5"/>
  <c r="V311" i="5"/>
  <c r="V370" i="5"/>
  <c r="V392" i="5"/>
  <c r="V252" i="5"/>
  <c r="V251" i="5"/>
  <c r="V19" i="5"/>
  <c r="V118" i="5"/>
  <c r="V245" i="5"/>
  <c r="V77" i="5"/>
  <c r="V190" i="5"/>
  <c r="V175" i="5"/>
  <c r="V122" i="5"/>
  <c r="V243" i="5"/>
  <c r="V43" i="5"/>
  <c r="V67" i="5"/>
  <c r="V373" i="5"/>
  <c r="V352" i="5"/>
  <c r="V86" i="5"/>
  <c r="V134" i="5"/>
  <c r="V28" i="5"/>
  <c r="V23" i="5"/>
  <c r="V71" i="5"/>
  <c r="V123" i="5"/>
  <c r="V106" i="5"/>
  <c r="V162" i="5"/>
  <c r="V89" i="5"/>
  <c r="V222" i="5"/>
  <c r="V164" i="5"/>
  <c r="V124" i="5"/>
  <c r="V147" i="5"/>
  <c r="V31" i="5"/>
  <c r="V176" i="5"/>
  <c r="V271" i="5"/>
  <c r="V379" i="5"/>
  <c r="V288" i="5"/>
  <c r="V95" i="5"/>
  <c r="V299" i="5"/>
  <c r="V66" i="5"/>
  <c r="V291" i="5"/>
  <c r="V549" i="5"/>
  <c r="V510" i="5"/>
  <c r="V474" i="5"/>
  <c r="V275" i="5"/>
  <c r="V436" i="5"/>
  <c r="V478" i="5"/>
  <c r="V332" i="5"/>
  <c r="V297" i="5"/>
  <c r="V327" i="5"/>
  <c r="V362" i="5"/>
  <c r="V225" i="5"/>
  <c r="V497" i="5"/>
  <c r="V264" i="5"/>
  <c r="V110" i="5"/>
  <c r="V209" i="5"/>
  <c r="V158" i="5"/>
  <c r="V167" i="5"/>
  <c r="V153" i="5"/>
  <c r="V522" i="5"/>
  <c r="V363" i="5"/>
  <c r="V367" i="5"/>
  <c r="V508" i="5"/>
  <c r="V432" i="5"/>
  <c r="V467" i="5"/>
  <c r="V293" i="5"/>
  <c r="V453" i="5"/>
  <c r="V312" i="5"/>
  <c r="V323" i="5"/>
  <c r="V143" i="5"/>
  <c r="V279" i="5"/>
  <c r="V223" i="5"/>
  <c r="V29" i="5"/>
  <c r="V199" i="5"/>
  <c r="V273" i="5"/>
  <c r="V102" i="5"/>
  <c r="V117" i="5"/>
  <c r="V101" i="5"/>
  <c r="V61" i="5"/>
  <c r="V75" i="5"/>
  <c r="V50" i="5"/>
  <c r="V69" i="5"/>
  <c r="V451" i="5"/>
  <c r="V526" i="5"/>
  <c r="V400" i="5"/>
  <c r="V108" i="5"/>
  <c r="V115" i="5"/>
  <c r="V73" i="5"/>
  <c r="V179" i="5"/>
  <c r="V146" i="5"/>
  <c r="V177" i="5"/>
  <c r="V139" i="5"/>
  <c r="V44" i="5"/>
  <c r="V184" i="5"/>
  <c r="V156" i="5"/>
  <c r="V206" i="5"/>
  <c r="V126" i="5"/>
  <c r="V226" i="5"/>
  <c r="V326" i="5"/>
  <c r="V194" i="5"/>
  <c r="V339" i="5"/>
  <c r="V221" i="5"/>
  <c r="V305" i="5"/>
  <c r="V210" i="5"/>
  <c r="V335" i="5"/>
  <c r="B40" i="5"/>
  <c r="V554" i="5"/>
  <c r="V356" i="5"/>
  <c r="V340" i="5"/>
  <c r="V503" i="5"/>
  <c r="V423" i="5"/>
  <c r="V461" i="5"/>
  <c r="V292" i="5"/>
  <c r="V446" i="5"/>
  <c r="V277" i="5"/>
  <c r="V502" i="5"/>
  <c r="V114" i="5"/>
  <c r="V248" i="5"/>
  <c r="V182" i="5"/>
  <c r="V372" i="5"/>
  <c r="V148" i="5"/>
  <c r="V236" i="5"/>
  <c r="V72" i="5"/>
  <c r="V85" i="5"/>
  <c r="V100" i="5"/>
  <c r="V99" i="5"/>
  <c r="V171" i="5"/>
  <c r="V260" i="5"/>
  <c r="V49" i="5"/>
  <c r="V59" i="5"/>
  <c r="V64" i="5"/>
  <c r="V78" i="5"/>
  <c r="V149" i="5"/>
  <c r="V211" i="5"/>
  <c r="V138" i="5"/>
  <c r="V169" i="5"/>
  <c r="V130" i="5"/>
  <c r="V244" i="5"/>
  <c r="V157" i="5"/>
  <c r="V97" i="5"/>
  <c r="V204" i="5"/>
  <c r="V119" i="5"/>
  <c r="V290" i="5"/>
  <c r="V178" i="5"/>
  <c r="V197" i="5"/>
  <c r="V374" i="5"/>
  <c r="V227" i="5"/>
  <c r="V330" i="5"/>
  <c r="V249" i="5"/>
  <c r="V396" i="5"/>
  <c r="V224" i="5"/>
  <c r="V267" i="5"/>
  <c r="V289" i="5"/>
  <c r="V456" i="5"/>
  <c r="V486" i="5"/>
  <c r="V80" i="5"/>
  <c r="V107" i="5"/>
  <c r="V48" i="5"/>
  <c r="V231" i="5"/>
  <c r="V79" i="5"/>
  <c r="V62" i="5"/>
  <c r="V120" i="5"/>
  <c r="V170" i="5"/>
  <c r="V217" i="5"/>
  <c r="V201" i="5"/>
  <c r="V185" i="5"/>
  <c r="V195" i="5"/>
  <c r="V329" i="5"/>
  <c r="V278" i="5"/>
  <c r="V258" i="5"/>
  <c r="V234" i="5"/>
  <c r="V351" i="5"/>
  <c r="V284" i="5"/>
  <c r="V183" i="5"/>
  <c r="V272" i="5"/>
  <c r="V63" i="5"/>
  <c r="V346" i="5"/>
  <c r="V440" i="5"/>
  <c r="V498" i="5"/>
  <c r="V444" i="5"/>
  <c r="V388" i="5"/>
  <c r="V416" i="5"/>
  <c r="V458" i="5"/>
  <c r="V389" i="5"/>
  <c r="V404" i="5"/>
  <c r="V516" i="5"/>
  <c r="V382" i="5"/>
  <c r="V490" i="5"/>
  <c r="V419" i="5"/>
  <c r="V470" i="5"/>
  <c r="V491" i="5"/>
  <c r="V552" i="5"/>
  <c r="V556" i="5"/>
  <c r="V515" i="5"/>
  <c r="V466" i="5"/>
  <c r="V342" i="5"/>
  <c r="V463" i="5"/>
  <c r="V145" i="5"/>
  <c r="V54" i="5"/>
  <c r="V331" i="5"/>
  <c r="V154" i="5"/>
  <c r="V93" i="5"/>
  <c r="V144" i="5"/>
  <c r="V131" i="5"/>
  <c r="V88" i="5"/>
  <c r="V52" i="5"/>
  <c r="V70" i="5"/>
  <c r="V188" i="5"/>
  <c r="V343" i="5"/>
  <c r="V344" i="5"/>
  <c r="V310" i="5"/>
  <c r="V274" i="5"/>
  <c r="V309" i="5"/>
  <c r="V296" i="5"/>
  <c r="V214" i="5"/>
  <c r="V303" i="5"/>
  <c r="V151" i="5"/>
  <c r="V383" i="5"/>
  <c r="V465" i="5"/>
  <c r="V528" i="5"/>
  <c r="V390" i="5"/>
  <c r="V189" i="5"/>
  <c r="V397" i="5"/>
  <c r="V480" i="5"/>
  <c r="V401" i="5"/>
  <c r="V452" i="5"/>
  <c r="V475" i="5"/>
  <c r="V412" i="5"/>
  <c r="V462" i="5"/>
  <c r="V417" i="5"/>
  <c r="V472" i="5"/>
  <c r="V520" i="5"/>
  <c r="V457" i="5"/>
  <c r="V420" i="5"/>
  <c r="V551" i="5"/>
  <c r="V473" i="5"/>
  <c r="V377" i="5"/>
  <c r="V98" i="5"/>
  <c r="V192" i="5"/>
  <c r="V307" i="5"/>
  <c r="V60" i="5"/>
  <c r="V319" i="5"/>
  <c r="V256" i="5"/>
  <c r="V103" i="5"/>
  <c r="V168" i="5"/>
  <c r="V152" i="5"/>
  <c r="V30" i="5"/>
  <c r="V116" i="5"/>
  <c r="V33" i="5"/>
  <c r="V228" i="5"/>
  <c r="V322" i="5"/>
  <c r="V341" i="5"/>
  <c r="V355" i="5"/>
  <c r="V265" i="5"/>
  <c r="V350" i="5"/>
  <c r="V286" i="5"/>
  <c r="V240" i="5"/>
  <c r="V336" i="5"/>
  <c r="V213" i="5"/>
  <c r="V361" i="5"/>
  <c r="V448" i="5"/>
  <c r="V536" i="5"/>
  <c r="V425" i="5"/>
  <c r="V281" i="5"/>
  <c r="V413" i="5"/>
  <c r="V488" i="5"/>
  <c r="V406" i="5"/>
  <c r="V219" i="5"/>
  <c r="V530" i="5"/>
  <c r="V427" i="5"/>
  <c r="V483" i="5"/>
  <c r="V455" i="5"/>
  <c r="V484" i="5"/>
  <c r="V541" i="5"/>
  <c r="V505" i="5"/>
  <c r="V529" i="5"/>
  <c r="V545" i="5"/>
  <c r="V433" i="5"/>
  <c r="V324" i="5"/>
  <c r="V232" i="5"/>
  <c r="V113" i="5"/>
  <c r="V418" i="5"/>
  <c r="V174" i="5"/>
  <c r="V41" i="5"/>
  <c r="V40" i="5"/>
  <c r="V193" i="5"/>
  <c r="V403" i="5"/>
  <c r="V39" i="5"/>
  <c r="V187" i="5"/>
  <c r="V140" i="5"/>
  <c r="V27" i="5"/>
  <c r="V229" i="5"/>
  <c r="V53" i="5"/>
  <c r="V366" i="5"/>
  <c r="V354" i="5"/>
  <c r="V283" i="5"/>
  <c r="V402" i="5"/>
  <c r="V295" i="5"/>
  <c r="V239" i="5"/>
  <c r="V337" i="5"/>
  <c r="V328" i="5"/>
  <c r="V391" i="5"/>
  <c r="V438" i="5"/>
  <c r="V557" i="5"/>
  <c r="V443" i="5"/>
  <c r="V333" i="5"/>
  <c r="V398" i="5"/>
  <c r="V468" i="5"/>
  <c r="V441" i="5"/>
  <c r="V447" i="5"/>
  <c r="V525" i="5"/>
  <c r="V409" i="5"/>
  <c r="V514" i="5"/>
  <c r="V560" i="5"/>
  <c r="V450" i="5"/>
  <c r="V550" i="5"/>
  <c r="V489" i="5"/>
  <c r="V546" i="5"/>
  <c r="V535" i="5"/>
  <c r="V519" i="5"/>
  <c r="V411" i="5"/>
  <c r="V121" i="5"/>
  <c r="V212" i="5"/>
  <c r="V90" i="5"/>
  <c r="V74" i="5"/>
  <c r="V24" i="5"/>
  <c r="V38" i="5"/>
  <c r="V315" i="5"/>
  <c r="V51" i="5"/>
  <c r="V26" i="5"/>
  <c r="V142" i="5"/>
  <c r="V135" i="5"/>
  <c r="V55" i="5"/>
  <c r="V237" i="5"/>
  <c r="V247" i="5"/>
  <c r="V56" i="5"/>
  <c r="V380" i="5"/>
  <c r="V301" i="5"/>
  <c r="V353" i="5"/>
  <c r="V321" i="5"/>
  <c r="V238" i="5"/>
  <c r="V345" i="5"/>
  <c r="V359" i="5"/>
  <c r="V317" i="5"/>
  <c r="V460" i="5"/>
  <c r="V558" i="5"/>
  <c r="V485" i="5"/>
  <c r="V360" i="5"/>
  <c r="V422" i="5"/>
  <c r="V509" i="5"/>
  <c r="V242" i="5"/>
  <c r="V414" i="5"/>
  <c r="V542" i="5"/>
  <c r="V445" i="5"/>
  <c r="V531" i="5"/>
  <c r="V511" i="5"/>
  <c r="V492" i="5"/>
  <c r="V544" i="5"/>
  <c r="V533" i="5"/>
  <c r="V426" i="5"/>
  <c r="V499" i="5"/>
  <c r="V375" i="5"/>
  <c r="V268" i="5"/>
  <c r="V253" i="5"/>
  <c r="V104" i="5"/>
  <c r="V36" i="5"/>
  <c r="V547" i="5"/>
  <c r="V347" i="5"/>
  <c r="V34" i="5"/>
  <c r="V58" i="5"/>
  <c r="V37" i="5"/>
  <c r="V128" i="5"/>
  <c r="V160" i="5"/>
  <c r="V136" i="5"/>
  <c r="V150" i="5"/>
  <c r="V298" i="5"/>
  <c r="V308" i="5"/>
  <c r="V205" i="5"/>
  <c r="V76" i="5"/>
  <c r="V364" i="5"/>
  <c r="V230" i="5"/>
  <c r="V166" i="5"/>
  <c r="V259" i="5"/>
  <c r="V325" i="5"/>
  <c r="V270" i="5"/>
  <c r="V368" i="5"/>
  <c r="V494" i="5"/>
  <c r="V394" i="5"/>
  <c r="V358" i="5"/>
  <c r="V424" i="5"/>
  <c r="V464" i="5"/>
  <c r="V537" i="5"/>
  <c r="V294" i="5"/>
  <c r="V437" i="5"/>
  <c r="V334" i="5"/>
  <c r="V428" i="5"/>
  <c r="V523" i="5"/>
  <c r="V481" i="5"/>
  <c r="V405" i="5"/>
  <c r="V521" i="5"/>
  <c r="V532" i="5"/>
  <c r="V435" i="5"/>
  <c r="V300" i="5"/>
  <c r="V172" i="5"/>
  <c r="V207" i="5"/>
  <c r="V263" i="5"/>
  <c r="V32" i="5"/>
  <c r="V105" i="5"/>
  <c r="V68" i="5"/>
  <c r="V439" i="5"/>
  <c r="V127" i="5"/>
  <c r="V155" i="5"/>
  <c r="V215" i="5"/>
  <c r="V216" i="5"/>
  <c r="V173" i="5"/>
  <c r="V181" i="5"/>
  <c r="V262" i="5"/>
  <c r="V304" i="5"/>
  <c r="V255" i="5"/>
  <c r="V112" i="5"/>
  <c r="V313" i="5"/>
  <c r="V287" i="5"/>
  <c r="V186" i="5"/>
  <c r="V285" i="5"/>
  <c r="V429" i="5"/>
  <c r="V302" i="5"/>
  <c r="V430" i="5"/>
  <c r="V487" i="5"/>
  <c r="V410" i="5"/>
  <c r="V386" i="5"/>
  <c r="V384" i="5"/>
  <c r="V471" i="5"/>
  <c r="V280" i="5"/>
  <c r="V381" i="5"/>
  <c r="V507" i="5"/>
  <c r="V399" i="5"/>
  <c r="V442" i="5"/>
  <c r="V538" i="5"/>
  <c r="V496" i="5"/>
  <c r="V479" i="5"/>
  <c r="V495" i="5"/>
  <c r="V553" i="5"/>
  <c r="V25" i="5"/>
  <c r="V180" i="5"/>
  <c r="V338" i="5"/>
  <c r="V395" i="5"/>
  <c r="V506" i="5"/>
  <c r="V12" i="5"/>
  <c r="V387" i="5"/>
  <c r="V42" i="5"/>
  <c r="V241" i="5"/>
  <c r="V431" i="5"/>
  <c r="V517" i="5"/>
  <c r="V10" i="5"/>
  <c r="V47" i="5"/>
  <c r="V235" i="5"/>
  <c r="V357" i="5"/>
  <c r="V524" i="5"/>
  <c r="V501" i="5"/>
  <c r="V21" i="5"/>
  <c r="V250" i="5"/>
  <c r="V246" i="5"/>
  <c r="V254" i="5"/>
  <c r="V534" i="5"/>
  <c r="V469" i="5"/>
  <c r="V96" i="5"/>
  <c r="V202" i="5"/>
  <c r="V393" i="5"/>
  <c r="V434" i="5"/>
  <c r="V349" i="5"/>
  <c r="V22" i="5"/>
  <c r="V365" i="5"/>
  <c r="V476" i="5"/>
  <c r="V196" i="5"/>
  <c r="N9" i="5"/>
  <c r="V83" i="5"/>
  <c r="V133" i="5"/>
  <c r="V266" i="5"/>
  <c r="V376" i="5"/>
  <c r="V314" i="5"/>
  <c r="V13" i="5"/>
  <c r="V129" i="5"/>
  <c r="V165" i="5"/>
  <c r="V218" i="5"/>
  <c r="V318" i="5"/>
  <c r="V527" i="5"/>
  <c r="V8" i="5"/>
  <c r="V11" i="5"/>
  <c r="O554" i="5"/>
  <c r="O389" i="5"/>
  <c r="O287" i="5"/>
  <c r="O488" i="5"/>
  <c r="O58" i="5"/>
  <c r="O69" i="5"/>
  <c r="O366" i="5"/>
  <c r="O364" i="5"/>
  <c r="O140" i="5"/>
  <c r="O321" i="5"/>
  <c r="O530" i="5"/>
  <c r="O251" i="5"/>
  <c r="O524" i="5"/>
  <c r="O314" i="5"/>
  <c r="O280" i="5"/>
  <c r="O475" i="5"/>
  <c r="O159" i="5"/>
  <c r="O198" i="5"/>
  <c r="O399" i="5"/>
  <c r="O502" i="5"/>
  <c r="O542" i="5"/>
  <c r="O245" i="5"/>
  <c r="O547" i="5"/>
  <c r="AB547" i="5" s="1"/>
  <c r="O302" i="5"/>
  <c r="O197" i="5"/>
  <c r="O483" i="5"/>
  <c r="O70" i="5"/>
  <c r="O459" i="5"/>
  <c r="O13" i="5"/>
  <c r="O221" i="5"/>
  <c r="AB221" i="5" s="1"/>
  <c r="O71" i="5"/>
  <c r="O443" i="5"/>
  <c r="O115" i="5"/>
  <c r="O130" i="5"/>
  <c r="O367" i="5"/>
  <c r="O408" i="5"/>
  <c r="O94" i="5"/>
  <c r="O217" i="5"/>
  <c r="O478" i="5"/>
  <c r="AB478" i="5" s="1"/>
  <c r="O262" i="5"/>
  <c r="O163" i="5"/>
  <c r="O211" i="5"/>
  <c r="O201" i="5"/>
  <c r="O311" i="5"/>
  <c r="O116" i="5"/>
  <c r="O34" i="5"/>
  <c r="O371" i="5"/>
  <c r="O473" i="5"/>
  <c r="O356" i="5"/>
  <c r="O543" i="5"/>
  <c r="O455" i="5"/>
  <c r="O437" i="5"/>
  <c r="O224" i="5"/>
  <c r="O165" i="5"/>
  <c r="O377" i="5"/>
  <c r="O98" i="5"/>
  <c r="O322" i="5"/>
  <c r="O279" i="5"/>
  <c r="O303" i="5"/>
  <c r="O340" i="5"/>
  <c r="O439" i="5"/>
  <c r="O273" i="5"/>
  <c r="O470" i="5"/>
  <c r="O338" i="5"/>
  <c r="O390" i="5"/>
  <c r="O169" i="5"/>
  <c r="O99" i="5"/>
  <c r="O325" i="5"/>
  <c r="O35" i="5"/>
  <c r="O506" i="5"/>
  <c r="O127" i="5"/>
  <c r="O328" i="5"/>
  <c r="O375" i="5"/>
  <c r="O295" i="5"/>
  <c r="AB295" i="5" s="1"/>
  <c r="O26" i="5"/>
  <c r="O252" i="5"/>
  <c r="O218" i="5"/>
  <c r="O465" i="5"/>
  <c r="O79" i="5"/>
  <c r="O285" i="5"/>
  <c r="AB285" i="5" s="1"/>
  <c r="O537" i="5"/>
  <c r="O360" i="5"/>
  <c r="O460" i="5"/>
  <c r="O206" i="5"/>
  <c r="O429" i="5"/>
  <c r="O39" i="5"/>
  <c r="O293" i="5"/>
  <c r="O240" i="5"/>
  <c r="O493" i="5"/>
  <c r="O192" i="5"/>
  <c r="O176" i="5"/>
  <c r="O396" i="5"/>
  <c r="O528" i="5"/>
  <c r="O244" i="5"/>
  <c r="O466" i="5"/>
  <c r="O291" i="5"/>
  <c r="O72" i="5"/>
  <c r="O485" i="5"/>
  <c r="O267" i="5"/>
  <c r="O92" i="5"/>
  <c r="O519" i="5"/>
  <c r="O381" i="5"/>
  <c r="O50" i="5"/>
  <c r="O103" i="5"/>
  <c r="O171" i="5"/>
  <c r="O423" i="5"/>
  <c r="O415" i="5"/>
  <c r="O182" i="5"/>
  <c r="O400" i="5"/>
  <c r="AB400" i="5" s="1"/>
  <c r="O32" i="5"/>
  <c r="O424" i="5"/>
  <c r="O236" i="5"/>
  <c r="O487" i="5"/>
  <c r="O82" i="5"/>
  <c r="O354" i="5"/>
  <c r="O541" i="5"/>
  <c r="O91" i="5"/>
  <c r="O412" i="5"/>
  <c r="O480" i="5"/>
  <c r="O379" i="5"/>
  <c r="O458" i="5"/>
  <c r="O259" i="5"/>
  <c r="O281" i="5"/>
  <c r="O538" i="5"/>
  <c r="O337" i="5"/>
  <c r="O308" i="5"/>
  <c r="O463" i="5"/>
  <c r="O231" i="5"/>
  <c r="O81" i="5"/>
  <c r="O230" i="5"/>
  <c r="O158" i="5"/>
  <c r="O235" i="5"/>
  <c r="O344" i="5"/>
  <c r="O431" i="5"/>
  <c r="O38" i="5"/>
  <c r="O334" i="5"/>
  <c r="O55" i="5"/>
  <c r="O464" i="5"/>
  <c r="O374" i="5"/>
  <c r="O492" i="5"/>
  <c r="O467" i="5"/>
  <c r="O283" i="5"/>
  <c r="O141" i="5"/>
  <c r="O145" i="5"/>
  <c r="O525" i="5"/>
  <c r="O47" i="5"/>
  <c r="O363" i="5"/>
  <c r="O509" i="5"/>
  <c r="O214" i="5"/>
  <c r="O135" i="5"/>
  <c r="O20" i="5"/>
  <c r="O150" i="5"/>
  <c r="O277" i="5"/>
  <c r="O433" i="5"/>
  <c r="O414" i="5"/>
  <c r="O511" i="5"/>
  <c r="O395" i="5"/>
  <c r="O456" i="5"/>
  <c r="O61" i="5"/>
  <c r="AB61" i="5" s="1"/>
  <c r="O296" i="5"/>
  <c r="O73" i="5"/>
  <c r="O44" i="5"/>
  <c r="O114" i="5"/>
  <c r="O97" i="5"/>
  <c r="AB97" i="5" s="1"/>
  <c r="O185" i="5"/>
  <c r="O425" i="5"/>
  <c r="O30" i="5"/>
  <c r="O353" i="5"/>
  <c r="O278" i="5"/>
  <c r="O417" i="5"/>
  <c r="O186" i="5"/>
  <c r="O323" i="5"/>
  <c r="O199" i="5"/>
  <c r="O25" i="5"/>
  <c r="O282" i="5"/>
  <c r="O442" i="5"/>
  <c r="O253" i="5"/>
  <c r="O391" i="5"/>
  <c r="O106" i="5"/>
  <c r="O420" i="5"/>
  <c r="O532" i="5"/>
  <c r="O164" i="5"/>
  <c r="AB164" i="5" s="1"/>
  <c r="O100" i="5"/>
  <c r="O269" i="5"/>
  <c r="O376" i="5"/>
  <c r="O128" i="5"/>
  <c r="O472" i="5"/>
  <c r="O88" i="5"/>
  <c r="O305" i="5"/>
  <c r="O78" i="5"/>
  <c r="O180" i="5"/>
  <c r="O63" i="5"/>
  <c r="O143" i="5"/>
  <c r="O121" i="5"/>
  <c r="O105" i="5"/>
  <c r="O260" i="5"/>
  <c r="O24" i="5"/>
  <c r="O477" i="5"/>
  <c r="AB477" i="5" s="1"/>
  <c r="O233" i="5"/>
  <c r="O449" i="5"/>
  <c r="O393" i="5"/>
  <c r="O84" i="5"/>
  <c r="AB84" i="5" s="1"/>
  <c r="O411" i="5"/>
  <c r="O494" i="5"/>
  <c r="O284" i="5"/>
  <c r="O254" i="5"/>
  <c r="O533" i="5"/>
  <c r="AB533" i="5" s="1"/>
  <c r="O495" i="5"/>
  <c r="O372" i="5"/>
  <c r="O161" i="5"/>
  <c r="O173" i="5"/>
  <c r="O409" i="5"/>
  <c r="O345" i="5"/>
  <c r="O451" i="5"/>
  <c r="O113" i="5"/>
  <c r="O119" i="5"/>
  <c r="O196" i="5"/>
  <c r="O499" i="5"/>
  <c r="O68" i="5"/>
  <c r="O228" i="5"/>
  <c r="O551" i="5"/>
  <c r="O559" i="5"/>
  <c r="O491" i="5"/>
  <c r="O461" i="5"/>
  <c r="O149" i="5"/>
  <c r="O53" i="5"/>
  <c r="O95" i="5"/>
  <c r="O241" i="5"/>
  <c r="O558" i="5"/>
  <c r="O359" i="5"/>
  <c r="O301" i="5"/>
  <c r="O222" i="5"/>
  <c r="O351" i="5"/>
  <c r="O137" i="5"/>
  <c r="O45" i="5"/>
  <c r="O209" i="5"/>
  <c r="O157" i="5"/>
  <c r="O421" i="5"/>
  <c r="O289" i="5"/>
  <c r="O482" i="5"/>
  <c r="O181" i="5"/>
  <c r="O175" i="5"/>
  <c r="O329" i="5"/>
  <c r="O521" i="5"/>
  <c r="O526" i="5"/>
  <c r="O19" i="5"/>
  <c r="O326" i="5"/>
  <c r="O200" i="5"/>
  <c r="O481" i="5"/>
  <c r="O90" i="5"/>
  <c r="O534" i="5"/>
  <c r="O416" i="5"/>
  <c r="O36" i="5"/>
  <c r="O527" i="5"/>
  <c r="O320" i="5"/>
  <c r="O110" i="5"/>
  <c r="O120" i="5"/>
  <c r="O507" i="5"/>
  <c r="O300" i="5"/>
  <c r="O202" i="5"/>
  <c r="O513" i="5"/>
  <c r="O474" i="5"/>
  <c r="O435" i="5"/>
  <c r="O170" i="5"/>
  <c r="O261" i="5"/>
  <c r="O535" i="5"/>
  <c r="O560" i="5"/>
  <c r="O96" i="5"/>
  <c r="O468" i="5"/>
  <c r="O40" i="5"/>
  <c r="O357" i="5"/>
  <c r="O76" i="5"/>
  <c r="O540" i="5"/>
  <c r="O350" i="5"/>
  <c r="O557" i="5"/>
  <c r="O247" i="5"/>
  <c r="O75" i="5"/>
  <c r="O453" i="5"/>
  <c r="O168" i="5"/>
  <c r="O177" i="5"/>
  <c r="O29" i="5"/>
  <c r="O257" i="5"/>
  <c r="O378" i="5"/>
  <c r="O48" i="5"/>
  <c r="O142" i="5"/>
  <c r="O215" i="5"/>
  <c r="O59" i="5"/>
  <c r="O272" i="5"/>
  <c r="O189" i="5"/>
  <c r="O361" i="5"/>
  <c r="O330" i="5"/>
  <c r="O83" i="5"/>
  <c r="O369" i="5"/>
  <c r="O155" i="5"/>
  <c r="O274" i="5"/>
  <c r="O147" i="5"/>
  <c r="AB147" i="5" s="1"/>
  <c r="O265" i="5"/>
  <c r="O193" i="5"/>
  <c r="O275" i="5"/>
  <c r="O152" i="5"/>
  <c r="O246" i="5"/>
  <c r="O27" i="5"/>
  <c r="O51" i="5"/>
  <c r="O440" i="5"/>
  <c r="O239" i="5"/>
  <c r="O31" i="5"/>
  <c r="O270" i="5"/>
  <c r="O498" i="5"/>
  <c r="O407" i="5"/>
  <c r="O166" i="5"/>
  <c r="O384" i="5"/>
  <c r="O504" i="5"/>
  <c r="O234" i="5"/>
  <c r="O229" i="5"/>
  <c r="O419" i="5"/>
  <c r="O516" i="5"/>
  <c r="O107" i="5"/>
  <c r="O129" i="5"/>
  <c r="O204" i="5"/>
  <c r="O355" i="5"/>
  <c r="O194" i="5"/>
  <c r="O462" i="5"/>
  <c r="O546" i="5"/>
  <c r="O319" i="5"/>
  <c r="O112" i="5"/>
  <c r="O471" i="5"/>
  <c r="O123" i="5"/>
  <c r="O132" i="5"/>
  <c r="O22" i="5"/>
  <c r="O445" i="5"/>
  <c r="AB445" i="5" s="1"/>
  <c r="O87" i="5"/>
  <c r="O497" i="5"/>
  <c r="O315" i="5"/>
  <c r="O523" i="5"/>
  <c r="O56" i="5"/>
  <c r="O86" i="5"/>
  <c r="O77" i="5"/>
  <c r="O452" i="5"/>
  <c r="O248" i="5"/>
  <c r="O380" i="5"/>
  <c r="O336" i="5"/>
  <c r="O544" i="5"/>
  <c r="O316" i="5"/>
  <c r="O520" i="5"/>
  <c r="O306" i="5"/>
  <c r="O438" i="5"/>
  <c r="O223" i="5"/>
  <c r="O422" i="5"/>
  <c r="O207" i="5"/>
  <c r="AB207" i="5" s="1"/>
  <c r="O162" i="5"/>
  <c r="O348" i="5"/>
  <c r="O434" i="5"/>
  <c r="O109" i="5"/>
  <c r="O268" i="5"/>
  <c r="O476" i="5"/>
  <c r="O292" i="5"/>
  <c r="O454" i="5"/>
  <c r="O146" i="5"/>
  <c r="O518" i="5"/>
  <c r="O313" i="5"/>
  <c r="O508" i="5"/>
  <c r="O536" i="5"/>
  <c r="O60" i="5"/>
  <c r="O342" i="5"/>
  <c r="O183" i="5"/>
  <c r="O339" i="5"/>
  <c r="O286" i="5"/>
  <c r="O398" i="5"/>
  <c r="O178" i="5"/>
  <c r="O238" i="5"/>
  <c r="O188" i="5"/>
  <c r="O510" i="5"/>
  <c r="O232" i="5"/>
  <c r="O352" i="5"/>
  <c r="O515" i="5"/>
  <c r="O216" i="5"/>
  <c r="O54" i="5"/>
  <c r="O387" i="5"/>
  <c r="O324" i="5"/>
  <c r="O426" i="5"/>
  <c r="O139" i="5"/>
  <c r="O370" i="5"/>
  <c r="O125" i="5"/>
  <c r="O220" i="5"/>
  <c r="O154" i="5"/>
  <c r="AB154" i="5" s="1"/>
  <c r="O151" i="5"/>
  <c r="O447" i="5"/>
  <c r="O266" i="5"/>
  <c r="O243" i="5"/>
  <c r="O298" i="5"/>
  <c r="O556" i="5"/>
  <c r="O529" i="5"/>
  <c r="O172" i="5"/>
  <c r="O104" i="5"/>
  <c r="O148" i="5"/>
  <c r="O49" i="5"/>
  <c r="O67" i="5"/>
  <c r="O386" i="5"/>
  <c r="AB386" i="5" s="1"/>
  <c r="O549" i="5"/>
  <c r="O264" i="5"/>
  <c r="O501" i="5"/>
  <c r="O489" i="5"/>
  <c r="O242" i="5"/>
  <c r="O290" i="5"/>
  <c r="O496" i="5"/>
  <c r="O394" i="5"/>
  <c r="O80" i="5"/>
  <c r="O514" i="5"/>
  <c r="O392" i="5"/>
  <c r="O327" i="5"/>
  <c r="O531" i="5"/>
  <c r="AB531" i="5" s="1"/>
  <c r="O343" i="5"/>
  <c r="O406" i="5"/>
  <c r="O46" i="5"/>
  <c r="O21" i="5"/>
  <c r="O255" i="5"/>
  <c r="O167" i="5"/>
  <c r="O317" i="5"/>
  <c r="O124" i="5"/>
  <c r="O191" i="5"/>
  <c r="O432" i="5"/>
  <c r="O57" i="5"/>
  <c r="O64" i="5"/>
  <c r="O227" i="5"/>
  <c r="O118" i="5"/>
  <c r="O102" i="5"/>
  <c r="O401" i="5"/>
  <c r="O271" i="5"/>
  <c r="O256" i="5"/>
  <c r="O517" i="5"/>
  <c r="O552" i="5"/>
  <c r="O418" i="5"/>
  <c r="O101" i="5"/>
  <c r="O545" i="5"/>
  <c r="O205" i="5"/>
  <c r="O522" i="5"/>
  <c r="AB522" i="5" s="1"/>
  <c r="O548" i="5"/>
  <c r="O448" i="5"/>
  <c r="O318" i="5"/>
  <c r="O208" i="5"/>
  <c r="O365" i="5"/>
  <c r="O65" i="5"/>
  <c r="O388" i="5"/>
  <c r="O402" i="5"/>
  <c r="O133" i="5"/>
  <c r="O500" i="5"/>
  <c r="O219" i="5"/>
  <c r="O226" i="5"/>
  <c r="O28" i="5"/>
  <c r="O66" i="5"/>
  <c r="O430" i="5"/>
  <c r="O297" i="5"/>
  <c r="O184" i="5"/>
  <c r="O23" i="5"/>
  <c r="O136" i="5"/>
  <c r="O335" i="5"/>
  <c r="O404" i="5"/>
  <c r="O446" i="5"/>
  <c r="AB446" i="5" s="1"/>
  <c r="O131" i="5"/>
  <c r="O403" i="5"/>
  <c r="O237" i="5"/>
  <c r="O333" i="5"/>
  <c r="O457" i="5"/>
  <c r="O263" i="5"/>
  <c r="O503" i="5"/>
  <c r="O52" i="5"/>
  <c r="O444" i="5"/>
  <c r="O138" i="5"/>
  <c r="O212" i="5"/>
  <c r="O249" i="5"/>
  <c r="O555" i="5"/>
  <c r="O134" i="5"/>
  <c r="O195" i="5"/>
  <c r="O156" i="5"/>
  <c r="O93" i="5"/>
  <c r="O410" i="5"/>
  <c r="O550" i="5"/>
  <c r="O225" i="5"/>
  <c r="O210" i="5"/>
  <c r="O258" i="5"/>
  <c r="O62" i="5"/>
  <c r="O122" i="5"/>
  <c r="O312" i="5"/>
  <c r="O190" i="5"/>
  <c r="O33" i="5"/>
  <c r="O383" i="5"/>
  <c r="O144" i="5"/>
  <c r="O484" i="5"/>
  <c r="O413" i="5"/>
  <c r="O310" i="5"/>
  <c r="O553" i="5"/>
  <c r="O304" i="5"/>
  <c r="O85" i="5"/>
  <c r="O179" i="5"/>
  <c r="O309" i="5"/>
  <c r="O368" i="5"/>
  <c r="O174" i="5"/>
  <c r="O153" i="5"/>
  <c r="O539" i="5"/>
  <c r="O373" i="5"/>
  <c r="O89" i="5"/>
  <c r="O160" i="5"/>
  <c r="O288" i="5"/>
  <c r="O126" i="5"/>
  <c r="O505" i="5"/>
  <c r="O294" i="5"/>
  <c r="O469" i="5"/>
  <c r="O436" i="5"/>
  <c r="O405" i="5"/>
  <c r="O74" i="5"/>
  <c r="O362" i="5"/>
  <c r="O486" i="5"/>
  <c r="O331" i="5"/>
  <c r="O397" i="5"/>
  <c r="O512" i="5"/>
  <c r="O427" i="5"/>
  <c r="O346" i="5"/>
  <c r="O111" i="5"/>
  <c r="O332" i="5"/>
  <c r="O358" i="5"/>
  <c r="O307" i="5"/>
  <c r="O299" i="5"/>
  <c r="O43" i="5"/>
  <c r="O349" i="5"/>
  <c r="O490" i="5"/>
  <c r="O276" i="5"/>
  <c r="O117" i="5"/>
  <c r="O441" i="5"/>
  <c r="O341" i="5"/>
  <c r="O203" i="5"/>
  <c r="O385" i="5"/>
  <c r="O187" i="5"/>
  <c r="O42" i="5"/>
  <c r="O428" i="5"/>
  <c r="O37" i="5"/>
  <c r="O250" i="5"/>
  <c r="O213" i="5"/>
  <c r="O382" i="5"/>
  <c r="O450" i="5"/>
  <c r="O479" i="5"/>
  <c r="O108" i="5"/>
  <c r="O347" i="5"/>
  <c r="O41" i="5"/>
  <c r="O8" i="5"/>
  <c r="O10" i="5"/>
  <c r="O12" i="5"/>
  <c r="O9" i="5"/>
  <c r="O11" i="5"/>
  <c r="B72" i="5"/>
  <c r="B67" i="5"/>
  <c r="P7" i="5"/>
  <c r="Q7" i="5" s="1"/>
  <c r="B83" i="3"/>
  <c r="B86" i="3" s="1"/>
  <c r="I41" i="2" s="1"/>
  <c r="I30" i="2"/>
  <c r="I36" i="2"/>
  <c r="E91" i="3"/>
  <c r="AO99" i="6" l="1"/>
  <c r="AO23" i="6"/>
  <c r="AU113" i="8"/>
  <c r="AW113" i="8" s="1"/>
  <c r="AU141" i="8"/>
  <c r="AW141" i="8" s="1"/>
  <c r="AU54" i="8"/>
  <c r="AW54" i="8" s="1"/>
  <c r="AO133" i="8"/>
  <c r="AU133" i="8" s="1"/>
  <c r="AW133" i="8" s="1"/>
  <c r="AO152" i="6"/>
  <c r="AO102" i="6"/>
  <c r="AU46" i="8"/>
  <c r="AW46" i="8" s="1"/>
  <c r="AU67" i="8"/>
  <c r="AW67" i="8" s="1"/>
  <c r="AB339" i="5"/>
  <c r="AB559" i="5"/>
  <c r="AQ70" i="6"/>
  <c r="AB497" i="5"/>
  <c r="AB323" i="5"/>
  <c r="AP52" i="6"/>
  <c r="AB249" i="5"/>
  <c r="AP134" i="6"/>
  <c r="AP105" i="6"/>
  <c r="AF46" i="6"/>
  <c r="AG46" i="6" s="1"/>
  <c r="AI46" i="6" s="1"/>
  <c r="AQ49" i="6"/>
  <c r="AP94" i="6"/>
  <c r="AB133" i="5"/>
  <c r="AB107" i="5"/>
  <c r="AB284" i="5"/>
  <c r="AD284" i="5" s="1"/>
  <c r="AC94" i="6"/>
  <c r="AD94" i="6" s="1"/>
  <c r="AN46" i="6"/>
  <c r="AO46" i="6" s="1"/>
  <c r="AC49" i="6"/>
  <c r="AD49" i="6" s="1"/>
  <c r="AK129" i="6"/>
  <c r="AL129" i="6" s="1"/>
  <c r="AO129" i="6" s="1"/>
  <c r="AC70" i="6"/>
  <c r="AD70" i="6" s="1"/>
  <c r="AB57" i="5"/>
  <c r="AF129" i="6"/>
  <c r="AG129" i="6" s="1"/>
  <c r="AI129" i="6" s="1"/>
  <c r="AB62" i="5"/>
  <c r="AB461" i="5"/>
  <c r="AB63" i="5"/>
  <c r="AC63" i="5" s="1"/>
  <c r="AK115" i="6"/>
  <c r="AL115" i="6" s="1"/>
  <c r="AO115" i="6" s="1"/>
  <c r="AQ86" i="6"/>
  <c r="AN52" i="6"/>
  <c r="AO52" i="6" s="1"/>
  <c r="AB30" i="5"/>
  <c r="AC97" i="6"/>
  <c r="AD97" i="6" s="1"/>
  <c r="AU32" i="6"/>
  <c r="AW32" i="6" s="1"/>
  <c r="AP86" i="6"/>
  <c r="AU86" i="6" s="1"/>
  <c r="AW86" i="6" s="1"/>
  <c r="AK62" i="6"/>
  <c r="AL62" i="6" s="1"/>
  <c r="AF115" i="6"/>
  <c r="AG115" i="6" s="1"/>
  <c r="AI115" i="6" s="1"/>
  <c r="AO25" i="6"/>
  <c r="AU25" i="6" s="1"/>
  <c r="AW25" i="6" s="1"/>
  <c r="AN62" i="6"/>
  <c r="AO62" i="6" s="1"/>
  <c r="AF87" i="6"/>
  <c r="AG87" i="6" s="1"/>
  <c r="AI87" i="6" s="1"/>
  <c r="AN64" i="6"/>
  <c r="AO64" i="6" s="1"/>
  <c r="AN87" i="6"/>
  <c r="AO87" i="6" s="1"/>
  <c r="AQ150" i="6"/>
  <c r="AQ139" i="6"/>
  <c r="AF64" i="6"/>
  <c r="AG64" i="6" s="1"/>
  <c r="AI64" i="6" s="1"/>
  <c r="AB452" i="5"/>
  <c r="AN54" i="6"/>
  <c r="AB121" i="5"/>
  <c r="AQ37" i="6"/>
  <c r="AB502" i="5"/>
  <c r="AD502" i="5" s="1"/>
  <c r="AQ130" i="6"/>
  <c r="AN157" i="6"/>
  <c r="AO157" i="6" s="1"/>
  <c r="AP152" i="6"/>
  <c r="AC110" i="6"/>
  <c r="AD110" i="6" s="1"/>
  <c r="AQ152" i="6"/>
  <c r="AB511" i="5"/>
  <c r="AD511" i="5" s="1"/>
  <c r="AK83" i="6"/>
  <c r="AL83" i="6" s="1"/>
  <c r="AB413" i="5"/>
  <c r="AB404" i="5"/>
  <c r="AB118" i="5"/>
  <c r="AC118" i="5" s="1"/>
  <c r="AB29" i="5"/>
  <c r="AB278" i="5"/>
  <c r="AC52" i="6"/>
  <c r="AD52" i="6" s="1"/>
  <c r="AB520" i="5"/>
  <c r="AN88" i="6"/>
  <c r="AO88" i="6" s="1"/>
  <c r="AK97" i="6"/>
  <c r="AL97" i="6" s="1"/>
  <c r="AO97" i="6" s="1"/>
  <c r="AO29" i="6"/>
  <c r="AU29" i="6" s="1"/>
  <c r="AW29" i="6" s="1"/>
  <c r="AC130" i="6"/>
  <c r="AD130" i="6" s="1"/>
  <c r="AF88" i="6"/>
  <c r="AG88" i="6" s="1"/>
  <c r="AI88" i="6" s="1"/>
  <c r="AF157" i="6"/>
  <c r="AG157" i="6" s="1"/>
  <c r="AI157" i="6" s="1"/>
  <c r="AN83" i="6"/>
  <c r="AU149" i="8"/>
  <c r="AW149" i="8" s="1"/>
  <c r="AN108" i="8"/>
  <c r="AO108" i="8" s="1"/>
  <c r="AU14" i="8"/>
  <c r="AW14" i="8" s="1"/>
  <c r="AC153" i="8"/>
  <c r="AD153" i="8" s="1"/>
  <c r="AP153" i="8"/>
  <c r="AU144" i="8"/>
  <c r="AW144" i="8" s="1"/>
  <c r="AU150" i="8"/>
  <c r="AW150" i="8" s="1"/>
  <c r="AU75" i="8"/>
  <c r="AW75" i="8" s="1"/>
  <c r="AU84" i="8"/>
  <c r="AW84" i="8" s="1"/>
  <c r="AQ100" i="6"/>
  <c r="AP41" i="6"/>
  <c r="AP110" i="6"/>
  <c r="AU110" i="6" s="1"/>
  <c r="AW110" i="6" s="1"/>
  <c r="AN79" i="6"/>
  <c r="AF49" i="6"/>
  <c r="AG49" i="6" s="1"/>
  <c r="AI49" i="6" s="1"/>
  <c r="AK22" i="8"/>
  <c r="AL22" i="8" s="1"/>
  <c r="AB320" i="5"/>
  <c r="AD320" i="5" s="1"/>
  <c r="AB38" i="5"/>
  <c r="AC38" i="5" s="1"/>
  <c r="AP90" i="6"/>
  <c r="AP112" i="6"/>
  <c r="AU19" i="8"/>
  <c r="AW19" i="8" s="1"/>
  <c r="AQ50" i="6"/>
  <c r="AB327" i="5"/>
  <c r="AU36" i="6"/>
  <c r="AW36" i="6" s="1"/>
  <c r="AP62" i="6"/>
  <c r="AQ105" i="6"/>
  <c r="AN128" i="6"/>
  <c r="AK79" i="6"/>
  <c r="AL79" i="6" s="1"/>
  <c r="AO79" i="6" s="1"/>
  <c r="AP83" i="6"/>
  <c r="AQ83" i="6"/>
  <c r="AF146" i="6"/>
  <c r="AG146" i="6" s="1"/>
  <c r="AI146" i="6" s="1"/>
  <c r="AN146" i="6"/>
  <c r="AO146" i="6" s="1"/>
  <c r="AO37" i="8"/>
  <c r="AU37" i="8" s="1"/>
  <c r="AW37" i="8" s="1"/>
  <c r="AP104" i="8"/>
  <c r="AU140" i="8"/>
  <c r="AW140" i="8" s="1"/>
  <c r="AB450" i="5"/>
  <c r="AP50" i="6"/>
  <c r="AP121" i="6"/>
  <c r="AQ126" i="8"/>
  <c r="AF100" i="6"/>
  <c r="AG100" i="6" s="1"/>
  <c r="AI100" i="6" s="1"/>
  <c r="AP126" i="8"/>
  <c r="AK121" i="6"/>
  <c r="AL121" i="6" s="1"/>
  <c r="AO121" i="6" s="1"/>
  <c r="AC90" i="6"/>
  <c r="AD90" i="6" s="1"/>
  <c r="AQ41" i="6"/>
  <c r="AQ110" i="8"/>
  <c r="AQ104" i="8"/>
  <c r="AU10" i="8"/>
  <c r="AW10" i="8" s="1"/>
  <c r="AU120" i="8"/>
  <c r="AW120" i="8" s="1"/>
  <c r="AO120" i="6"/>
  <c r="AU120" i="6" s="1"/>
  <c r="AW120" i="6" s="1"/>
  <c r="AC62" i="6"/>
  <c r="AD62" i="6" s="1"/>
  <c r="AC100" i="6"/>
  <c r="AD100" i="6" s="1"/>
  <c r="AK128" i="6"/>
  <c r="AL128" i="6" s="1"/>
  <c r="AC64" i="6"/>
  <c r="AD64" i="6" s="1"/>
  <c r="AQ157" i="6"/>
  <c r="AN73" i="6"/>
  <c r="AK73" i="6"/>
  <c r="AL73" i="6" s="1"/>
  <c r="AC110" i="8"/>
  <c r="AD110" i="8" s="1"/>
  <c r="AO14" i="6"/>
  <c r="AU14" i="6" s="1"/>
  <c r="AW14" i="6" s="1"/>
  <c r="AC157" i="6"/>
  <c r="AD157" i="6" s="1"/>
  <c r="AP64" i="6"/>
  <c r="AN140" i="6"/>
  <c r="AO140" i="6" s="1"/>
  <c r="AU140" i="6" s="1"/>
  <c r="AW140" i="6" s="1"/>
  <c r="AQ128" i="6"/>
  <c r="AP128" i="6"/>
  <c r="AB430" i="5"/>
  <c r="BE430" i="5" s="1"/>
  <c r="AB300" i="5"/>
  <c r="BE300" i="5" s="1"/>
  <c r="AN43" i="6"/>
  <c r="AQ97" i="6"/>
  <c r="AP102" i="6"/>
  <c r="AO19" i="6"/>
  <c r="AU19" i="6" s="1"/>
  <c r="AW19" i="6" s="1"/>
  <c r="AK56" i="6"/>
  <c r="AL56" i="6" s="1"/>
  <c r="AK43" i="6"/>
  <c r="AL43" i="6" s="1"/>
  <c r="AC37" i="6"/>
  <c r="AD37" i="6" s="1"/>
  <c r="AQ121" i="8"/>
  <c r="AB342" i="5"/>
  <c r="AF37" i="6"/>
  <c r="AG37" i="6" s="1"/>
  <c r="AI37" i="6" s="1"/>
  <c r="AC129" i="6"/>
  <c r="AD129" i="6" s="1"/>
  <c r="AC151" i="6"/>
  <c r="AD151" i="6" s="1"/>
  <c r="AP129" i="6"/>
  <c r="AB527" i="5"/>
  <c r="AD527" i="5" s="1"/>
  <c r="AB197" i="5"/>
  <c r="AC197" i="5" s="1"/>
  <c r="AO26" i="6"/>
  <c r="AU26" i="6" s="1"/>
  <c r="AW26" i="6" s="1"/>
  <c r="AQ151" i="6"/>
  <c r="AN115" i="8"/>
  <c r="AO115" i="8" s="1"/>
  <c r="AO154" i="8"/>
  <c r="AU154" i="8" s="1"/>
  <c r="AW154" i="8" s="1"/>
  <c r="AB220" i="5"/>
  <c r="AP99" i="6"/>
  <c r="AN130" i="6"/>
  <c r="AO130" i="6" s="1"/>
  <c r="AC99" i="6"/>
  <c r="AD99" i="6" s="1"/>
  <c r="AF73" i="8"/>
  <c r="AG73" i="8" s="1"/>
  <c r="AI73" i="8" s="1"/>
  <c r="AU12" i="8"/>
  <c r="AW12" i="8" s="1"/>
  <c r="AC102" i="6"/>
  <c r="AD102" i="6" s="1"/>
  <c r="AN37" i="6"/>
  <c r="AO37" i="6" s="1"/>
  <c r="AN73" i="8"/>
  <c r="AO73" i="8" s="1"/>
  <c r="AP114" i="6"/>
  <c r="AP73" i="6"/>
  <c r="AQ73" i="6"/>
  <c r="AF130" i="6"/>
  <c r="AG130" i="6" s="1"/>
  <c r="AI130" i="6" s="1"/>
  <c r="AF115" i="8"/>
  <c r="AG115" i="8" s="1"/>
  <c r="AI115" i="8" s="1"/>
  <c r="AU21" i="8"/>
  <c r="AW21" i="8" s="1"/>
  <c r="AU123" i="8"/>
  <c r="AW123" i="8" s="1"/>
  <c r="AU143" i="8"/>
  <c r="AW143" i="8" s="1"/>
  <c r="AU77" i="8"/>
  <c r="AW77" i="8" s="1"/>
  <c r="AP73" i="8"/>
  <c r="AU48" i="8"/>
  <c r="AW48" i="8" s="1"/>
  <c r="AU131" i="8"/>
  <c r="AW131" i="8" s="1"/>
  <c r="AU76" i="8"/>
  <c r="AW76" i="8" s="1"/>
  <c r="AQ73" i="8"/>
  <c r="AU68" i="8"/>
  <c r="AW68" i="8" s="1"/>
  <c r="AB83" i="5"/>
  <c r="AD83" i="5" s="1"/>
  <c r="AU105" i="8"/>
  <c r="AW105" i="8" s="1"/>
  <c r="AB384" i="5"/>
  <c r="AC384" i="5" s="1"/>
  <c r="AS9" i="5"/>
  <c r="AY9" i="5"/>
  <c r="AB166" i="5"/>
  <c r="BE166" i="5" s="1"/>
  <c r="AB491" i="5"/>
  <c r="AC491" i="5" s="1"/>
  <c r="AU25" i="8"/>
  <c r="AW25" i="8" s="1"/>
  <c r="AK28" i="8"/>
  <c r="AL28" i="8" s="1"/>
  <c r="AO28" i="8" s="1"/>
  <c r="AU59" i="8"/>
  <c r="AW59" i="8" s="1"/>
  <c r="AU69" i="8"/>
  <c r="AW69" i="8" s="1"/>
  <c r="AU86" i="8"/>
  <c r="AW86" i="8" s="1"/>
  <c r="AF28" i="8"/>
  <c r="AG28" i="8" s="1"/>
  <c r="AI28" i="8" s="1"/>
  <c r="AU93" i="8"/>
  <c r="AW93" i="8" s="1"/>
  <c r="AU89" i="8"/>
  <c r="AW89" i="8" s="1"/>
  <c r="BD11" i="5"/>
  <c r="AC115" i="8"/>
  <c r="AD115" i="8" s="1"/>
  <c r="AQ115" i="8"/>
  <c r="AB74" i="5"/>
  <c r="AD74" i="5" s="1"/>
  <c r="AU142" i="8"/>
  <c r="AW142" i="8" s="1"/>
  <c r="AQ88" i="6"/>
  <c r="AP88" i="6"/>
  <c r="AN41" i="6"/>
  <c r="AN56" i="6"/>
  <c r="AP46" i="6"/>
  <c r="AN150" i="6"/>
  <c r="AO150" i="6" s="1"/>
  <c r="AK117" i="6"/>
  <c r="AL117" i="6" s="1"/>
  <c r="AN117" i="6"/>
  <c r="AK54" i="6"/>
  <c r="AL54" i="6" s="1"/>
  <c r="AF52" i="6"/>
  <c r="AG52" i="6" s="1"/>
  <c r="AI52" i="6" s="1"/>
  <c r="AK70" i="6"/>
  <c r="AL70" i="6" s="1"/>
  <c r="AO70" i="6" s="1"/>
  <c r="AF70" i="6"/>
  <c r="AG70" i="6" s="1"/>
  <c r="AI70" i="6" s="1"/>
  <c r="AF150" i="6"/>
  <c r="AG150" i="6" s="1"/>
  <c r="AI150" i="6" s="1"/>
  <c r="AC46" i="6"/>
  <c r="AD46" i="6" s="1"/>
  <c r="AP115" i="6"/>
  <c r="AQ115" i="6"/>
  <c r="AP79" i="6"/>
  <c r="AK78" i="6"/>
  <c r="AL78" i="6" s="1"/>
  <c r="AN78" i="6"/>
  <c r="AU33" i="6"/>
  <c r="AW33" i="6" s="1"/>
  <c r="AC38" i="8"/>
  <c r="AD38" i="8" s="1"/>
  <c r="AP38" i="8"/>
  <c r="AN57" i="6"/>
  <c r="AO57" i="6" s="1"/>
  <c r="AP56" i="6"/>
  <c r="AK90" i="6"/>
  <c r="AL90" i="6" s="1"/>
  <c r="AO90" i="6" s="1"/>
  <c r="AN100" i="6"/>
  <c r="AO100" i="6" s="1"/>
  <c r="AF90" i="6"/>
  <c r="AG90" i="6" s="1"/>
  <c r="AI90" i="6" s="1"/>
  <c r="AK40" i="6"/>
  <c r="AL40" i="6" s="1"/>
  <c r="AQ56" i="6"/>
  <c r="AF85" i="6"/>
  <c r="AG85" i="6" s="1"/>
  <c r="AI85" i="6" s="1"/>
  <c r="AP139" i="6"/>
  <c r="AQ145" i="6"/>
  <c r="AQ57" i="6"/>
  <c r="AK119" i="6"/>
  <c r="AL119" i="6" s="1"/>
  <c r="AC145" i="6"/>
  <c r="AD145" i="6" s="1"/>
  <c r="AN119" i="6"/>
  <c r="AF114" i="6"/>
  <c r="AG114" i="6" s="1"/>
  <c r="AI114" i="6" s="1"/>
  <c r="AC57" i="6"/>
  <c r="AD57" i="6" s="1"/>
  <c r="AK85" i="6"/>
  <c r="AL85" i="6" s="1"/>
  <c r="AO85" i="6" s="1"/>
  <c r="AC123" i="6"/>
  <c r="AD123" i="6" s="1"/>
  <c r="AP123" i="6"/>
  <c r="AU78" i="8"/>
  <c r="AW78" i="8" s="1"/>
  <c r="BC11" i="5"/>
  <c r="AQ87" i="6"/>
  <c r="AC149" i="6"/>
  <c r="AD149" i="6" s="1"/>
  <c r="AK50" i="6"/>
  <c r="AL50" i="6" s="1"/>
  <c r="AN50" i="6"/>
  <c r="AF139" i="6"/>
  <c r="AG139" i="6" s="1"/>
  <c r="AI139" i="6" s="1"/>
  <c r="AP149" i="6"/>
  <c r="AQ85" i="6"/>
  <c r="AP43" i="6"/>
  <c r="AU34" i="6"/>
  <c r="AW34" i="6" s="1"/>
  <c r="AC87" i="6"/>
  <c r="AD87" i="6" s="1"/>
  <c r="AN139" i="6"/>
  <c r="AO139" i="6" s="1"/>
  <c r="AQ43" i="6"/>
  <c r="AU157" i="8"/>
  <c r="AW157" i="8" s="1"/>
  <c r="AF57" i="6"/>
  <c r="AG57" i="6" s="1"/>
  <c r="AI57" i="6" s="1"/>
  <c r="AN40" i="6"/>
  <c r="AN123" i="6"/>
  <c r="AO123" i="6" s="1"/>
  <c r="AF123" i="6"/>
  <c r="AG123" i="6" s="1"/>
  <c r="AI123" i="6" s="1"/>
  <c r="AB544" i="5"/>
  <c r="BE544" i="5" s="1"/>
  <c r="AF38" i="8"/>
  <c r="AG38" i="8" s="1"/>
  <c r="AI38" i="8" s="1"/>
  <c r="AN38" i="8"/>
  <c r="AO38" i="8" s="1"/>
  <c r="AP98" i="6"/>
  <c r="AC98" i="6"/>
  <c r="AD98" i="6" s="1"/>
  <c r="AN105" i="6"/>
  <c r="AK105" i="6"/>
  <c r="AL105" i="6" s="1"/>
  <c r="AQ79" i="6"/>
  <c r="AK41" i="6"/>
  <c r="AL41" i="6" s="1"/>
  <c r="AC54" i="6"/>
  <c r="AD54" i="6" s="1"/>
  <c r="AQ54" i="6"/>
  <c r="AN108" i="6"/>
  <c r="AO108" i="6" s="1"/>
  <c r="AF96" i="6"/>
  <c r="AG96" i="6" s="1"/>
  <c r="AI96" i="6" s="1"/>
  <c r="AB383" i="5"/>
  <c r="AD383" i="5" s="1"/>
  <c r="AB146" i="5"/>
  <c r="AC146" i="5" s="1"/>
  <c r="AB456" i="5"/>
  <c r="AC456" i="5" s="1"/>
  <c r="AB244" i="5"/>
  <c r="AD244" i="5" s="1"/>
  <c r="AB245" i="5"/>
  <c r="AC245" i="5" s="1"/>
  <c r="AB69" i="5"/>
  <c r="AD69" i="5" s="1"/>
  <c r="AB373" i="5"/>
  <c r="AD373" i="5" s="1"/>
  <c r="AB385" i="5"/>
  <c r="AC385" i="5" s="1"/>
  <c r="AB93" i="5"/>
  <c r="BE93" i="5" s="1"/>
  <c r="AB87" i="5"/>
  <c r="BE87" i="5" s="1"/>
  <c r="AB106" i="5"/>
  <c r="BE106" i="5" s="1"/>
  <c r="AB374" i="5"/>
  <c r="AD374" i="5" s="1"/>
  <c r="AB176" i="5"/>
  <c r="AD176" i="5" s="1"/>
  <c r="AU17" i="6"/>
  <c r="AW17" i="6" s="1"/>
  <c r="AO18" i="6"/>
  <c r="AU18" i="6" s="1"/>
  <c r="AW18" i="6" s="1"/>
  <c r="AF108" i="6"/>
  <c r="AG108" i="6" s="1"/>
  <c r="AI108" i="6" s="1"/>
  <c r="AU35" i="6"/>
  <c r="AW35" i="6" s="1"/>
  <c r="AK96" i="6"/>
  <c r="AL96" i="6" s="1"/>
  <c r="AO96" i="6" s="1"/>
  <c r="AU30" i="6"/>
  <c r="AW30" i="6" s="1"/>
  <c r="AP7" i="6"/>
  <c r="AN94" i="6"/>
  <c r="AP40" i="6"/>
  <c r="AP96" i="6"/>
  <c r="AN144" i="6"/>
  <c r="AO144" i="6" s="1"/>
  <c r="AK7" i="6"/>
  <c r="AL7" i="6" s="1"/>
  <c r="AJ7" i="6"/>
  <c r="AC96" i="6"/>
  <c r="AD96" i="6" s="1"/>
  <c r="AQ40" i="6"/>
  <c r="AK94" i="6"/>
  <c r="AL94" i="6" s="1"/>
  <c r="AC108" i="6"/>
  <c r="AD108" i="6" s="1"/>
  <c r="AQ7" i="6"/>
  <c r="AU31" i="6"/>
  <c r="AW31" i="6" s="1"/>
  <c r="AU9" i="6"/>
  <c r="AW9" i="6" s="1"/>
  <c r="AQ108" i="6"/>
  <c r="AF151" i="6"/>
  <c r="AG151" i="6" s="1"/>
  <c r="AI151" i="6" s="1"/>
  <c r="AU10" i="6"/>
  <c r="AW10" i="6" s="1"/>
  <c r="AN151" i="6"/>
  <c r="AO151" i="6" s="1"/>
  <c r="AF98" i="6"/>
  <c r="AG98" i="6" s="1"/>
  <c r="AI98" i="6" s="1"/>
  <c r="AN98" i="6"/>
  <c r="AO98" i="6" s="1"/>
  <c r="AU23" i="6"/>
  <c r="AW23" i="6" s="1"/>
  <c r="AU28" i="6"/>
  <c r="AW28" i="6" s="1"/>
  <c r="AU12" i="6"/>
  <c r="AW12" i="6" s="1"/>
  <c r="AB369" i="5"/>
  <c r="BE369" i="5" s="1"/>
  <c r="AB199" i="5"/>
  <c r="BE199" i="5" s="1"/>
  <c r="AB344" i="5"/>
  <c r="BE344" i="5" s="1"/>
  <c r="AB319" i="5"/>
  <c r="AC319" i="5" s="1"/>
  <c r="AB516" i="5"/>
  <c r="AC516" i="5" s="1"/>
  <c r="AU22" i="6"/>
  <c r="AW22" i="6" s="1"/>
  <c r="AB167" i="5"/>
  <c r="BE167" i="5" s="1"/>
  <c r="AB306" i="5"/>
  <c r="BE306" i="5" s="1"/>
  <c r="AB120" i="5"/>
  <c r="AD120" i="5" s="1"/>
  <c r="AF144" i="6"/>
  <c r="AG144" i="6" s="1"/>
  <c r="AI144" i="6" s="1"/>
  <c r="AB226" i="5"/>
  <c r="AD226" i="5" s="1"/>
  <c r="AB440" i="5"/>
  <c r="AC440" i="5" s="1"/>
  <c r="AB200" i="5"/>
  <c r="AC200" i="5" s="1"/>
  <c r="AB269" i="5"/>
  <c r="AD269" i="5" s="1"/>
  <c r="AB236" i="5"/>
  <c r="BE236" i="5" s="1"/>
  <c r="AB258" i="5"/>
  <c r="BE258" i="5" s="1"/>
  <c r="AB549" i="5"/>
  <c r="AD549" i="5" s="1"/>
  <c r="AB515" i="5"/>
  <c r="AC515" i="5" s="1"/>
  <c r="AB59" i="5"/>
  <c r="AD59" i="5" s="1"/>
  <c r="AB293" i="5"/>
  <c r="AB371" i="5"/>
  <c r="AD371" i="5" s="1"/>
  <c r="AU39" i="8"/>
  <c r="AW39" i="8" s="1"/>
  <c r="AU27" i="6"/>
  <c r="AW27" i="6" s="1"/>
  <c r="AU8" i="6"/>
  <c r="AW8" i="6" s="1"/>
  <c r="AU126" i="8"/>
  <c r="AW126" i="8" s="1"/>
  <c r="AO60" i="6"/>
  <c r="AU60" i="6" s="1"/>
  <c r="AW60" i="6" s="1"/>
  <c r="AU20" i="6"/>
  <c r="AW20" i="6" s="1"/>
  <c r="AC144" i="6"/>
  <c r="AD144" i="6" s="1"/>
  <c r="AQ144" i="6"/>
  <c r="AO104" i="6"/>
  <c r="AU104" i="6" s="1"/>
  <c r="AW104" i="6" s="1"/>
  <c r="AO11" i="6"/>
  <c r="AU11" i="6" s="1"/>
  <c r="AW11" i="6" s="1"/>
  <c r="AR141" i="6"/>
  <c r="Z141" i="6"/>
  <c r="AA141" i="6"/>
  <c r="AR48" i="6"/>
  <c r="Z48" i="6"/>
  <c r="AA48" i="6"/>
  <c r="AR135" i="6"/>
  <c r="AA135" i="6"/>
  <c r="Z135" i="6"/>
  <c r="AR143" i="6"/>
  <c r="Z143" i="6"/>
  <c r="AA143" i="6"/>
  <c r="AR44" i="6"/>
  <c r="Z44" i="6"/>
  <c r="AA44" i="6"/>
  <c r="AR89" i="6"/>
  <c r="AA89" i="6"/>
  <c r="Z89" i="6"/>
  <c r="AR47" i="6"/>
  <c r="Z47" i="6"/>
  <c r="AK47" i="6" s="1"/>
  <c r="AL47" i="6" s="1"/>
  <c r="AA47" i="6"/>
  <c r="AN7" i="6"/>
  <c r="AF7" i="6"/>
  <c r="AG7" i="6" s="1"/>
  <c r="AI7" i="6" s="1"/>
  <c r="AR132" i="6"/>
  <c r="AA132" i="6"/>
  <c r="Z132" i="6"/>
  <c r="AR82" i="6"/>
  <c r="Z82" i="6"/>
  <c r="AA82" i="6"/>
  <c r="AJ47" i="6"/>
  <c r="AU16" i="6"/>
  <c r="AW16" i="6" s="1"/>
  <c r="AU21" i="6"/>
  <c r="AW21" i="6" s="1"/>
  <c r="AU15" i="6"/>
  <c r="AW15" i="6" s="1"/>
  <c r="AU13" i="6"/>
  <c r="AW13" i="6" s="1"/>
  <c r="AO148" i="8"/>
  <c r="AU148" i="8" s="1"/>
  <c r="AW148" i="8" s="1"/>
  <c r="AU24" i="6"/>
  <c r="AW24" i="6" s="1"/>
  <c r="AO125" i="8"/>
  <c r="AU125" i="8" s="1"/>
  <c r="AW125" i="8" s="1"/>
  <c r="AO134" i="8"/>
  <c r="AU134" i="8" s="1"/>
  <c r="AW134" i="8" s="1"/>
  <c r="AU85" i="8"/>
  <c r="AW85" i="8" s="1"/>
  <c r="AU114" i="8"/>
  <c r="AW114" i="8" s="1"/>
  <c r="AO110" i="8"/>
  <c r="AO56" i="8"/>
  <c r="AU56" i="8" s="1"/>
  <c r="AW56" i="8" s="1"/>
  <c r="AO33" i="8"/>
  <c r="AU33" i="8" s="1"/>
  <c r="AW33" i="8" s="1"/>
  <c r="AU128" i="8"/>
  <c r="AW128" i="8" s="1"/>
  <c r="AO43" i="8"/>
  <c r="AU43" i="8" s="1"/>
  <c r="AW43" i="8" s="1"/>
  <c r="AO124" i="8"/>
  <c r="AU124" i="8" s="1"/>
  <c r="AW124" i="8" s="1"/>
  <c r="AU41" i="8"/>
  <c r="AW41" i="8" s="1"/>
  <c r="AU88" i="8"/>
  <c r="AW88" i="8" s="1"/>
  <c r="AU34" i="8"/>
  <c r="AW34" i="8" s="1"/>
  <c r="AO29" i="8"/>
  <c r="AU29" i="8" s="1"/>
  <c r="AW29" i="8" s="1"/>
  <c r="AU42" i="8"/>
  <c r="AW42" i="8" s="1"/>
  <c r="AO146" i="8"/>
  <c r="AU146" i="8" s="1"/>
  <c r="AW146" i="8" s="1"/>
  <c r="AU91" i="8"/>
  <c r="AW91" i="8" s="1"/>
  <c r="AO30" i="8"/>
  <c r="AU30" i="8" s="1"/>
  <c r="AW30" i="8" s="1"/>
  <c r="AO81" i="8"/>
  <c r="AU81" i="8" s="1"/>
  <c r="AW81" i="8" s="1"/>
  <c r="AO79" i="8"/>
  <c r="AU79" i="8" s="1"/>
  <c r="AW79" i="8" s="1"/>
  <c r="AO156" i="8"/>
  <c r="AU156" i="8" s="1"/>
  <c r="AW156" i="8" s="1"/>
  <c r="AU62" i="8"/>
  <c r="AW62" i="8" s="1"/>
  <c r="AO104" i="8"/>
  <c r="AO22" i="8"/>
  <c r="AU22" i="8" s="1"/>
  <c r="AW22" i="8" s="1"/>
  <c r="AU139" i="8"/>
  <c r="AW139" i="8" s="1"/>
  <c r="AU83" i="8"/>
  <c r="AW83" i="8" s="1"/>
  <c r="AU74" i="8"/>
  <c r="AW74" i="8" s="1"/>
  <c r="AU70" i="8"/>
  <c r="AW70" i="8" s="1"/>
  <c r="AU102" i="8"/>
  <c r="AW102" i="8" s="1"/>
  <c r="AU98" i="8"/>
  <c r="AW98" i="8" s="1"/>
  <c r="AO64" i="8"/>
  <c r="AU64" i="8" s="1"/>
  <c r="AW64" i="8" s="1"/>
  <c r="AU47" i="8"/>
  <c r="AW47" i="8" s="1"/>
  <c r="AU94" i="8"/>
  <c r="AW94" i="8" s="1"/>
  <c r="AU87" i="8"/>
  <c r="AW87" i="8" s="1"/>
  <c r="AU132" i="8"/>
  <c r="AW132" i="8" s="1"/>
  <c r="AU136" i="8"/>
  <c r="AW136" i="8" s="1"/>
  <c r="AB388" i="5"/>
  <c r="AD388" i="5" s="1"/>
  <c r="AU60" i="8"/>
  <c r="AW60" i="8" s="1"/>
  <c r="AU80" i="8"/>
  <c r="AW80" i="8" s="1"/>
  <c r="AB203" i="5"/>
  <c r="AD203" i="5" s="1"/>
  <c r="AB257" i="5"/>
  <c r="BE257" i="5" s="1"/>
  <c r="AB175" i="5"/>
  <c r="BE175" i="5" s="1"/>
  <c r="AU51" i="8"/>
  <c r="AW51" i="8" s="1"/>
  <c r="AU72" i="8"/>
  <c r="AW72" i="8" s="1"/>
  <c r="AU119" i="8"/>
  <c r="AW119" i="8" s="1"/>
  <c r="AU97" i="8"/>
  <c r="AW97" i="8" s="1"/>
  <c r="AU135" i="8"/>
  <c r="AW135" i="8" s="1"/>
  <c r="AU11" i="8"/>
  <c r="AW11" i="8" s="1"/>
  <c r="AU121" i="8"/>
  <c r="AW121" i="8" s="1"/>
  <c r="AU65" i="8"/>
  <c r="AW65" i="8" s="1"/>
  <c r="AU40" i="8"/>
  <c r="AW40" i="8" s="1"/>
  <c r="AB275" i="5"/>
  <c r="BE275" i="5" s="1"/>
  <c r="AB363" i="5"/>
  <c r="BE363" i="5" s="1"/>
  <c r="AU31" i="8"/>
  <c r="AW31" i="8" s="1"/>
  <c r="AO153" i="8"/>
  <c r="AU107" i="8"/>
  <c r="AW107" i="8" s="1"/>
  <c r="AB392" i="5"/>
  <c r="AC392" i="5" s="1"/>
  <c r="AB261" i="5"/>
  <c r="AC261" i="5" s="1"/>
  <c r="AB149" i="5"/>
  <c r="AD149" i="5" s="1"/>
  <c r="AU71" i="8"/>
  <c r="AW71" i="8" s="1"/>
  <c r="AO61" i="8"/>
  <c r="AU61" i="8" s="1"/>
  <c r="AW61" i="8" s="1"/>
  <c r="AO82" i="8"/>
  <c r="AU82" i="8" s="1"/>
  <c r="AW82" i="8" s="1"/>
  <c r="AU17" i="8"/>
  <c r="AW17" i="8" s="1"/>
  <c r="AU53" i="8"/>
  <c r="AW53" i="8" s="1"/>
  <c r="AU16" i="8"/>
  <c r="AW16" i="8" s="1"/>
  <c r="AU96" i="8"/>
  <c r="AW96" i="8" s="1"/>
  <c r="AU45" i="8"/>
  <c r="AW45" i="8" s="1"/>
  <c r="AB378" i="5"/>
  <c r="AC378" i="5" s="1"/>
  <c r="AB441" i="5"/>
  <c r="AD441" i="5" s="1"/>
  <c r="AB134" i="5"/>
  <c r="AC134" i="5" s="1"/>
  <c r="AB222" i="5"/>
  <c r="AD222" i="5" s="1"/>
  <c r="AU145" i="8"/>
  <c r="AW145" i="8" s="1"/>
  <c r="AO13" i="8"/>
  <c r="AU13" i="8" s="1"/>
  <c r="AW13" i="8" s="1"/>
  <c r="AU36" i="8"/>
  <c r="AW36" i="8" s="1"/>
  <c r="AU129" i="8"/>
  <c r="AW129" i="8" s="1"/>
  <c r="AU108" i="8"/>
  <c r="AW108" i="8" s="1"/>
  <c r="AB117" i="5"/>
  <c r="BE117" i="5" s="1"/>
  <c r="AB288" i="5"/>
  <c r="AD288" i="5" s="1"/>
  <c r="AB309" i="5"/>
  <c r="AD309" i="5" s="1"/>
  <c r="AB555" i="5"/>
  <c r="AD555" i="5" s="1"/>
  <c r="AB518" i="5"/>
  <c r="AD518" i="5" s="1"/>
  <c r="AB204" i="5"/>
  <c r="BE204" i="5" s="1"/>
  <c r="AB100" i="5"/>
  <c r="AC100" i="5" s="1"/>
  <c r="AO35" i="8"/>
  <c r="AU35" i="8" s="1"/>
  <c r="AW35" i="8" s="1"/>
  <c r="AO151" i="8"/>
  <c r="AU151" i="8" s="1"/>
  <c r="AW151" i="8" s="1"/>
  <c r="AU57" i="8"/>
  <c r="AW57" i="8" s="1"/>
  <c r="AO138" i="6"/>
  <c r="AU138" i="6" s="1"/>
  <c r="AW138" i="6" s="1"/>
  <c r="AB250" i="5"/>
  <c r="AD250" i="5" s="1"/>
  <c r="AB358" i="5"/>
  <c r="AD358" i="5" s="1"/>
  <c r="AO148" i="6"/>
  <c r="AU148" i="6" s="1"/>
  <c r="AW148" i="6" s="1"/>
  <c r="AO111" i="6"/>
  <c r="AU111" i="6" s="1"/>
  <c r="AW111" i="6" s="1"/>
  <c r="AU103" i="6"/>
  <c r="AW103" i="6" s="1"/>
  <c r="AU125" i="6"/>
  <c r="AW125" i="6" s="1"/>
  <c r="AB190" i="5"/>
  <c r="AC190" i="5" s="1"/>
  <c r="AB318" i="5"/>
  <c r="AD318" i="5" s="1"/>
  <c r="AB168" i="5"/>
  <c r="AD168" i="5" s="1"/>
  <c r="AB160" i="5"/>
  <c r="AD160" i="5" s="1"/>
  <c r="AB448" i="5"/>
  <c r="BE448" i="5" s="1"/>
  <c r="AB340" i="5"/>
  <c r="AC340" i="5" s="1"/>
  <c r="AB419" i="5"/>
  <c r="AC419" i="5" s="1"/>
  <c r="AB114" i="5"/>
  <c r="AC114" i="5" s="1"/>
  <c r="AB201" i="5"/>
  <c r="BE201" i="5" s="1"/>
  <c r="AB545" i="5"/>
  <c r="BE545" i="5" s="1"/>
  <c r="AB462" i="5"/>
  <c r="AD462" i="5" s="1"/>
  <c r="AB44" i="5"/>
  <c r="AC44" i="5" s="1"/>
  <c r="AB444" i="5"/>
  <c r="AC444" i="5" s="1"/>
  <c r="AB131" i="5"/>
  <c r="AD131" i="5" s="1"/>
  <c r="AB312" i="5"/>
  <c r="BE312" i="5" s="1"/>
  <c r="AB102" i="5"/>
  <c r="AC102" i="5" s="1"/>
  <c r="AB194" i="5"/>
  <c r="AD194" i="5" s="1"/>
  <c r="AB356" i="5"/>
  <c r="AD356" i="5" s="1"/>
  <c r="AB341" i="5"/>
  <c r="AD341" i="5" s="1"/>
  <c r="AB109" i="5"/>
  <c r="AC109" i="5" s="1"/>
  <c r="AB540" i="5"/>
  <c r="AC540" i="5" s="1"/>
  <c r="AB351" i="5"/>
  <c r="AC351" i="5" s="1"/>
  <c r="AB208" i="5"/>
  <c r="AC208" i="5" s="1"/>
  <c r="AB86" i="5"/>
  <c r="AD86" i="5" s="1"/>
  <c r="AB132" i="5"/>
  <c r="AD132" i="5" s="1"/>
  <c r="AB80" i="5"/>
  <c r="AD80" i="5" s="1"/>
  <c r="AB316" i="5"/>
  <c r="AD316" i="5" s="1"/>
  <c r="AB219" i="5"/>
  <c r="BE219" i="5" s="1"/>
  <c r="AB225" i="5"/>
  <c r="AD225" i="5" s="1"/>
  <c r="AB46" i="5"/>
  <c r="BE46" i="5" s="1"/>
  <c r="AB421" i="5"/>
  <c r="BE421" i="5" s="1"/>
  <c r="AB41" i="5"/>
  <c r="AC41" i="5" s="1"/>
  <c r="AB370" i="5"/>
  <c r="BE370" i="5" s="1"/>
  <c r="AB474" i="5"/>
  <c r="BE474" i="5" s="1"/>
  <c r="AB490" i="5"/>
  <c r="BE490" i="5" s="1"/>
  <c r="AB89" i="5"/>
  <c r="BE89" i="5" s="1"/>
  <c r="AB85" i="5"/>
  <c r="AD85" i="5" s="1"/>
  <c r="AB548" i="5"/>
  <c r="AD548" i="5" s="1"/>
  <c r="AB139" i="5"/>
  <c r="AD139" i="5" s="1"/>
  <c r="AO68" i="6"/>
  <c r="AU68" i="6" s="1"/>
  <c r="AW68" i="6" s="1"/>
  <c r="AU42" i="6"/>
  <c r="AW42" i="6" s="1"/>
  <c r="AO142" i="6"/>
  <c r="AU142" i="6" s="1"/>
  <c r="AW142" i="6" s="1"/>
  <c r="AO76" i="6"/>
  <c r="AU76" i="6" s="1"/>
  <c r="AW76" i="6" s="1"/>
  <c r="AU91" i="6"/>
  <c r="AW91" i="6" s="1"/>
  <c r="AO134" i="6"/>
  <c r="AU134" i="6" s="1"/>
  <c r="AW134" i="6" s="1"/>
  <c r="AB529" i="5"/>
  <c r="AD529" i="5" s="1"/>
  <c r="AB379" i="5"/>
  <c r="AC379" i="5" s="1"/>
  <c r="AB103" i="5"/>
  <c r="AD103" i="5" s="1"/>
  <c r="AB473" i="5"/>
  <c r="AC473" i="5" s="1"/>
  <c r="AB21" i="5"/>
  <c r="AD21" i="5" s="1"/>
  <c r="AB274" i="5"/>
  <c r="AD274" i="5" s="1"/>
  <c r="AB394" i="5"/>
  <c r="AD394" i="5" s="1"/>
  <c r="AB78" i="5"/>
  <c r="BE78" i="5" s="1"/>
  <c r="AB135" i="5"/>
  <c r="AD135" i="5" s="1"/>
  <c r="AB412" i="5"/>
  <c r="AD412" i="5" s="1"/>
  <c r="AB217" i="5"/>
  <c r="BE217" i="5" s="1"/>
  <c r="AB428" i="5"/>
  <c r="AD428" i="5" s="1"/>
  <c r="AB550" i="5"/>
  <c r="AD550" i="5" s="1"/>
  <c r="AB526" i="5"/>
  <c r="AD526" i="5" s="1"/>
  <c r="AB330" i="5"/>
  <c r="AD330" i="5" s="1"/>
  <c r="AB229" i="5"/>
  <c r="AD229" i="5" s="1"/>
  <c r="AB361" i="5"/>
  <c r="BE361" i="5" s="1"/>
  <c r="AB90" i="5"/>
  <c r="BE90" i="5" s="1"/>
  <c r="AB301" i="5"/>
  <c r="AC301" i="5" s="1"/>
  <c r="AB336" i="5"/>
  <c r="BE336" i="5" s="1"/>
  <c r="AB368" i="5"/>
  <c r="AD368" i="5" s="1"/>
  <c r="AB42" i="5"/>
  <c r="AD42" i="5" s="1"/>
  <c r="AB304" i="5"/>
  <c r="BE304" i="5" s="1"/>
  <c r="AB228" i="5"/>
  <c r="AD228" i="5" s="1"/>
  <c r="AB420" i="5"/>
  <c r="BE420" i="5" s="1"/>
  <c r="AB418" i="5"/>
  <c r="BE418" i="5" s="1"/>
  <c r="AB333" i="5"/>
  <c r="AD333" i="5" s="1"/>
  <c r="AB553" i="5"/>
  <c r="BE553" i="5" s="1"/>
  <c r="AB205" i="5"/>
  <c r="AC205" i="5" s="1"/>
  <c r="AB560" i="5"/>
  <c r="AC560" i="5" s="1"/>
  <c r="AU80" i="6"/>
  <c r="AW80" i="6" s="1"/>
  <c r="AB435" i="5"/>
  <c r="AD435" i="5" s="1"/>
  <c r="AO109" i="6"/>
  <c r="AU109" i="6" s="1"/>
  <c r="AW109" i="6" s="1"/>
  <c r="AB112" i="5"/>
  <c r="AD112" i="5" s="1"/>
  <c r="AB468" i="5"/>
  <c r="AD468" i="5" s="1"/>
  <c r="AB528" i="5"/>
  <c r="AD528" i="5" s="1"/>
  <c r="AO107" i="6"/>
  <c r="AU107" i="6" s="1"/>
  <c r="AW107" i="6" s="1"/>
  <c r="AB172" i="5"/>
  <c r="AD172" i="5" s="1"/>
  <c r="AB126" i="5"/>
  <c r="BE126" i="5" s="1"/>
  <c r="AB335" i="5"/>
  <c r="AC335" i="5" s="1"/>
  <c r="AB504" i="5"/>
  <c r="AD504" i="5" s="1"/>
  <c r="AB291" i="5"/>
  <c r="BE291" i="5" s="1"/>
  <c r="AB457" i="5"/>
  <c r="AD457" i="5" s="1"/>
  <c r="AB141" i="5"/>
  <c r="AC141" i="5" s="1"/>
  <c r="AB556" i="5"/>
  <c r="AD556" i="5" s="1"/>
  <c r="AB348" i="5"/>
  <c r="BE348" i="5" s="1"/>
  <c r="AB123" i="5"/>
  <c r="AD123" i="5" s="1"/>
  <c r="AB111" i="5"/>
  <c r="AD111" i="5" s="1"/>
  <c r="AB179" i="5"/>
  <c r="AD179" i="5" s="1"/>
  <c r="AB155" i="5"/>
  <c r="AC155" i="5" s="1"/>
  <c r="AB407" i="5"/>
  <c r="BE407" i="5" s="1"/>
  <c r="AB513" i="5"/>
  <c r="AC513" i="5" s="1"/>
  <c r="AU65" i="6"/>
  <c r="AW65" i="6" s="1"/>
  <c r="AB92" i="5"/>
  <c r="AD92" i="5" s="1"/>
  <c r="AB346" i="5"/>
  <c r="AD346" i="5" s="1"/>
  <c r="AB67" i="5"/>
  <c r="BE67" i="5" s="1"/>
  <c r="AB187" i="5"/>
  <c r="AD187" i="5" s="1"/>
  <c r="AB343" i="5"/>
  <c r="AD343" i="5" s="1"/>
  <c r="AB49" i="5"/>
  <c r="AC49" i="5" s="1"/>
  <c r="AB148" i="5"/>
  <c r="BE148" i="5" s="1"/>
  <c r="AB297" i="5"/>
  <c r="AC297" i="5" s="1"/>
  <c r="AB191" i="5"/>
  <c r="BE191" i="5" s="1"/>
  <c r="AB292" i="5"/>
  <c r="AC292" i="5" s="1"/>
  <c r="AB31" i="5"/>
  <c r="BE31" i="5" s="1"/>
  <c r="AB390" i="5"/>
  <c r="AD390" i="5" s="1"/>
  <c r="AU49" i="6"/>
  <c r="AW49" i="6" s="1"/>
  <c r="AB463" i="5"/>
  <c r="AD463" i="5" s="1"/>
  <c r="AB377" i="5"/>
  <c r="AC377" i="5" s="1"/>
  <c r="AB88" i="5"/>
  <c r="AC88" i="5" s="1"/>
  <c r="AB313" i="5"/>
  <c r="BE313" i="5" s="1"/>
  <c r="AB434" i="5"/>
  <c r="BE434" i="5" s="1"/>
  <c r="AB355" i="5"/>
  <c r="AD355" i="5" s="1"/>
  <c r="AB517" i="5"/>
  <c r="AC517" i="5" s="1"/>
  <c r="AB523" i="5"/>
  <c r="BE523" i="5" s="1"/>
  <c r="AB215" i="5"/>
  <c r="AC215" i="5" s="1"/>
  <c r="AB40" i="5"/>
  <c r="BE40" i="5" s="1"/>
  <c r="AB410" i="5"/>
  <c r="AD410" i="5" s="1"/>
  <c r="AB422" i="5"/>
  <c r="AC422" i="5" s="1"/>
  <c r="AB489" i="5"/>
  <c r="AC489" i="5" s="1"/>
  <c r="AB104" i="5"/>
  <c r="BE104" i="5" s="1"/>
  <c r="AB238" i="5"/>
  <c r="BE238" i="5" s="1"/>
  <c r="AB53" i="5"/>
  <c r="AC53" i="5" s="1"/>
  <c r="AB55" i="5"/>
  <c r="BE55" i="5" s="1"/>
  <c r="AO101" i="6"/>
  <c r="AU101" i="6" s="1"/>
  <c r="AW101" i="6" s="1"/>
  <c r="AB402" i="5"/>
  <c r="BE402" i="5" s="1"/>
  <c r="AB380" i="5"/>
  <c r="AC380" i="5" s="1"/>
  <c r="AB128" i="5"/>
  <c r="AC128" i="5" s="1"/>
  <c r="AO58" i="6"/>
  <c r="AU58" i="6" s="1"/>
  <c r="AW58" i="6" s="1"/>
  <c r="AB484" i="5"/>
  <c r="AD484" i="5" s="1"/>
  <c r="AB514" i="5"/>
  <c r="AD514" i="5" s="1"/>
  <c r="AB495" i="5"/>
  <c r="AC495" i="5" s="1"/>
  <c r="AB240" i="5"/>
  <c r="AD240" i="5" s="1"/>
  <c r="AB443" i="5"/>
  <c r="BE443" i="5" s="1"/>
  <c r="AB558" i="5"/>
  <c r="AD558" i="5" s="1"/>
  <c r="AO81" i="6"/>
  <c r="AU81" i="6" s="1"/>
  <c r="AW81" i="6" s="1"/>
  <c r="AB230" i="5"/>
  <c r="BE230" i="5" s="1"/>
  <c r="AB442" i="5"/>
  <c r="AC442" i="5" s="1"/>
  <c r="AB328" i="5"/>
  <c r="AC328" i="5" s="1"/>
  <c r="AU59" i="6"/>
  <c r="AW59" i="6" s="1"/>
  <c r="AB492" i="5"/>
  <c r="BE492" i="5" s="1"/>
  <c r="AB180" i="5"/>
  <c r="AC180" i="5" s="1"/>
  <c r="AO63" i="6"/>
  <c r="AU63" i="6" s="1"/>
  <c r="AW63" i="6" s="1"/>
  <c r="AO122" i="6"/>
  <c r="AU122" i="6" s="1"/>
  <c r="AW122" i="6" s="1"/>
  <c r="AU51" i="6"/>
  <c r="AW51" i="6" s="1"/>
  <c r="AB337" i="5"/>
  <c r="AD337" i="5" s="1"/>
  <c r="AU126" i="6"/>
  <c r="AW126" i="6" s="1"/>
  <c r="AU133" i="6"/>
  <c r="AW133" i="6" s="1"/>
  <c r="AB360" i="5"/>
  <c r="BE360" i="5" s="1"/>
  <c r="AB393" i="5"/>
  <c r="AC393" i="5" s="1"/>
  <c r="AB253" i="5"/>
  <c r="AC253" i="5" s="1"/>
  <c r="AB496" i="5"/>
  <c r="AD496" i="5" s="1"/>
  <c r="AB305" i="5"/>
  <c r="BE305" i="5" s="1"/>
  <c r="AB214" i="5"/>
  <c r="AD214" i="5" s="1"/>
  <c r="AB224" i="5"/>
  <c r="AD224" i="5" s="1"/>
  <c r="AB94" i="5"/>
  <c r="AD94" i="5" s="1"/>
  <c r="AB425" i="5"/>
  <c r="AC425" i="5" s="1"/>
  <c r="AB405" i="5"/>
  <c r="AD405" i="5" s="1"/>
  <c r="AB243" i="5"/>
  <c r="AD243" i="5" s="1"/>
  <c r="AB138" i="5"/>
  <c r="BE138" i="5" s="1"/>
  <c r="AB403" i="5"/>
  <c r="AC403" i="5" s="1"/>
  <c r="AB290" i="5"/>
  <c r="AD290" i="5" s="1"/>
  <c r="AB247" i="5"/>
  <c r="AC247" i="5" s="1"/>
  <c r="AB182" i="5"/>
  <c r="AC182" i="5" s="1"/>
  <c r="AB408" i="5"/>
  <c r="AD408" i="5" s="1"/>
  <c r="AB251" i="5"/>
  <c r="AD251" i="5" s="1"/>
  <c r="AB124" i="5"/>
  <c r="AD124" i="5" s="1"/>
  <c r="AB242" i="5"/>
  <c r="AC242" i="5" s="1"/>
  <c r="AB324" i="5"/>
  <c r="AD324" i="5" s="1"/>
  <c r="AB173" i="5"/>
  <c r="AC173" i="5" s="1"/>
  <c r="AB472" i="5"/>
  <c r="AC472" i="5" s="1"/>
  <c r="AB186" i="5"/>
  <c r="BE186" i="5" s="1"/>
  <c r="AB354" i="5"/>
  <c r="AC354" i="5" s="1"/>
  <c r="AB415" i="5"/>
  <c r="AD415" i="5" s="1"/>
  <c r="AB70" i="5"/>
  <c r="AD70" i="5" s="1"/>
  <c r="AB530" i="5"/>
  <c r="AC530" i="5" s="1"/>
  <c r="AB299" i="5"/>
  <c r="AD299" i="5" s="1"/>
  <c r="AB397" i="5"/>
  <c r="AD397" i="5" s="1"/>
  <c r="AB156" i="5"/>
  <c r="AC156" i="5" s="1"/>
  <c r="AB438" i="5"/>
  <c r="AC438" i="5" s="1"/>
  <c r="AB350" i="5"/>
  <c r="AD350" i="5" s="1"/>
  <c r="AB535" i="5"/>
  <c r="AC535" i="5" s="1"/>
  <c r="AB82" i="5"/>
  <c r="AC82" i="5" s="1"/>
  <c r="AB423" i="5"/>
  <c r="AC423" i="5" s="1"/>
  <c r="AB279" i="5"/>
  <c r="AC279" i="5" s="1"/>
  <c r="AB543" i="5"/>
  <c r="AD543" i="5" s="1"/>
  <c r="AB198" i="5"/>
  <c r="AC198" i="5" s="1"/>
  <c r="AU72" i="6"/>
  <c r="AW72" i="6" s="1"/>
  <c r="AB195" i="5"/>
  <c r="AC195" i="5" s="1"/>
  <c r="AB54" i="5"/>
  <c r="AC54" i="5" s="1"/>
  <c r="AB508" i="5"/>
  <c r="AD508" i="5" s="1"/>
  <c r="AB22" i="5"/>
  <c r="AC22" i="5" s="1"/>
  <c r="AB525" i="5"/>
  <c r="AC525" i="5" s="1"/>
  <c r="AB458" i="5"/>
  <c r="AC458" i="5" s="1"/>
  <c r="AB171" i="5"/>
  <c r="AD171" i="5" s="1"/>
  <c r="AB115" i="5"/>
  <c r="AD115" i="5" s="1"/>
  <c r="AU93" i="6"/>
  <c r="AW93" i="6" s="1"/>
  <c r="AB276" i="5"/>
  <c r="AC276" i="5" s="1"/>
  <c r="AB23" i="5"/>
  <c r="AD23" i="5" s="1"/>
  <c r="AB272" i="5"/>
  <c r="BE272" i="5" s="1"/>
  <c r="AB110" i="5"/>
  <c r="AC110" i="5" s="1"/>
  <c r="AB150" i="5"/>
  <c r="BE150" i="5" s="1"/>
  <c r="AB231" i="5"/>
  <c r="BE231" i="5" s="1"/>
  <c r="AU39" i="6"/>
  <c r="AW39" i="6" s="1"/>
  <c r="AO149" i="6"/>
  <c r="AO92" i="6"/>
  <c r="AU92" i="6" s="1"/>
  <c r="AW92" i="6" s="1"/>
  <c r="AU75" i="6"/>
  <c r="AW75" i="6" s="1"/>
  <c r="AB26" i="5"/>
  <c r="AD26" i="5" s="1"/>
  <c r="AU55" i="6"/>
  <c r="AW55" i="6" s="1"/>
  <c r="AB338" i="5"/>
  <c r="BE338" i="5" s="1"/>
  <c r="AB262" i="5"/>
  <c r="AD262" i="5" s="1"/>
  <c r="AU74" i="6"/>
  <c r="AW74" i="6" s="1"/>
  <c r="AB51" i="5"/>
  <c r="BE51" i="5" s="1"/>
  <c r="AB357" i="5"/>
  <c r="AD357" i="5" s="1"/>
  <c r="AB289" i="5"/>
  <c r="AD289" i="5" s="1"/>
  <c r="AB113" i="5"/>
  <c r="AC113" i="5" s="1"/>
  <c r="AB50" i="5"/>
  <c r="AD50" i="5" s="1"/>
  <c r="AB431" i="5"/>
  <c r="AC431" i="5" s="1"/>
  <c r="AB308" i="5"/>
  <c r="AC308" i="5" s="1"/>
  <c r="AB33" i="5"/>
  <c r="AD33" i="5" s="1"/>
  <c r="AB532" i="5"/>
  <c r="AD532" i="5" s="1"/>
  <c r="AB467" i="5"/>
  <c r="AC467" i="5" s="1"/>
  <c r="AB542" i="5"/>
  <c r="AD542" i="5" s="1"/>
  <c r="AB469" i="5"/>
  <c r="AC469" i="5" s="1"/>
  <c r="AB401" i="5"/>
  <c r="BE401" i="5" s="1"/>
  <c r="AB60" i="5"/>
  <c r="BE60" i="5" s="1"/>
  <c r="AB476" i="5"/>
  <c r="BE476" i="5" s="1"/>
  <c r="AB270" i="5"/>
  <c r="AD270" i="5" s="1"/>
  <c r="AB68" i="5"/>
  <c r="AD68" i="5" s="1"/>
  <c r="AB411" i="5"/>
  <c r="AC411" i="5" s="1"/>
  <c r="AB158" i="5"/>
  <c r="AD158" i="5" s="1"/>
  <c r="AB460" i="5"/>
  <c r="BE460" i="5" s="1"/>
  <c r="AB294" i="5"/>
  <c r="AD294" i="5" s="1"/>
  <c r="AB151" i="5"/>
  <c r="AC151" i="5" s="1"/>
  <c r="AB387" i="5"/>
  <c r="AD387" i="5" s="1"/>
  <c r="AB499" i="5"/>
  <c r="AC499" i="5" s="1"/>
  <c r="AB130" i="5"/>
  <c r="AD130" i="5" s="1"/>
  <c r="AO137" i="6"/>
  <c r="AU137" i="6" s="1"/>
  <c r="AW137" i="6" s="1"/>
  <c r="AB196" i="5"/>
  <c r="AC196" i="5" s="1"/>
  <c r="AB375" i="5"/>
  <c r="BE375" i="5" s="1"/>
  <c r="AB140" i="5"/>
  <c r="AC140" i="5" s="1"/>
  <c r="AU112" i="6"/>
  <c r="AW112" i="6" s="1"/>
  <c r="AB302" i="5"/>
  <c r="AD302" i="5" s="1"/>
  <c r="AU127" i="6"/>
  <c r="AW127" i="6" s="1"/>
  <c r="AB129" i="5"/>
  <c r="AC129" i="5" s="1"/>
  <c r="AB381" i="5"/>
  <c r="AD381" i="5" s="1"/>
  <c r="AB439" i="5"/>
  <c r="AC439" i="5" s="1"/>
  <c r="AB524" i="5"/>
  <c r="BE524" i="5" s="1"/>
  <c r="AB58" i="5"/>
  <c r="AD58" i="5" s="1"/>
  <c r="AB96" i="5"/>
  <c r="AC96" i="5" s="1"/>
  <c r="AB541" i="5"/>
  <c r="BE541" i="5" s="1"/>
  <c r="AB437" i="5"/>
  <c r="AD437" i="5" s="1"/>
  <c r="AB488" i="5"/>
  <c r="BE488" i="5" s="1"/>
  <c r="AU84" i="6"/>
  <c r="AW84" i="6" s="1"/>
  <c r="AB43" i="5"/>
  <c r="AD43" i="5" s="1"/>
  <c r="AB512" i="5"/>
  <c r="BE512" i="5" s="1"/>
  <c r="AB539" i="5"/>
  <c r="BE539" i="5" s="1"/>
  <c r="AU155" i="6"/>
  <c r="AW155" i="6" s="1"/>
  <c r="AO61" i="6"/>
  <c r="AU61" i="6" s="1"/>
  <c r="AW61" i="6" s="1"/>
  <c r="AO128" i="6"/>
  <c r="AU128" i="6" s="1"/>
  <c r="AW128" i="6" s="1"/>
  <c r="AU67" i="6"/>
  <c r="AW67" i="6" s="1"/>
  <c r="AO38" i="6"/>
  <c r="AU38" i="6" s="1"/>
  <c r="AW38" i="6" s="1"/>
  <c r="AU77" i="6"/>
  <c r="AW77" i="6" s="1"/>
  <c r="AU53" i="6"/>
  <c r="AW53" i="6" s="1"/>
  <c r="AO124" i="6"/>
  <c r="AU124" i="6" s="1"/>
  <c r="AW124" i="6" s="1"/>
  <c r="AU136" i="6"/>
  <c r="AW136" i="6" s="1"/>
  <c r="AU147" i="6"/>
  <c r="AW147" i="6" s="1"/>
  <c r="AU95" i="6"/>
  <c r="AW95" i="6" s="1"/>
  <c r="AU66" i="6"/>
  <c r="AW66" i="6" s="1"/>
  <c r="AU156" i="6"/>
  <c r="AW156" i="6" s="1"/>
  <c r="AO106" i="6"/>
  <c r="AU106" i="6" s="1"/>
  <c r="AW106" i="6" s="1"/>
  <c r="AU113" i="6"/>
  <c r="AW113" i="6" s="1"/>
  <c r="AO116" i="6"/>
  <c r="AU116" i="6" s="1"/>
  <c r="AW116" i="6" s="1"/>
  <c r="AO145" i="6"/>
  <c r="AO54" i="6"/>
  <c r="AU153" i="6"/>
  <c r="AW153" i="6" s="1"/>
  <c r="AU69" i="6"/>
  <c r="AW69" i="6" s="1"/>
  <c r="AU118" i="6"/>
  <c r="AW118" i="6" s="1"/>
  <c r="AU154" i="6"/>
  <c r="AW154" i="6" s="1"/>
  <c r="AU131" i="6"/>
  <c r="AW131" i="6" s="1"/>
  <c r="AU45" i="6"/>
  <c r="AW45" i="6" s="1"/>
  <c r="AU71" i="6"/>
  <c r="AW71" i="6" s="1"/>
  <c r="AB56" i="5"/>
  <c r="AD56" i="5" s="1"/>
  <c r="AB480" i="5"/>
  <c r="AC480" i="5" s="1"/>
  <c r="AB79" i="5"/>
  <c r="AD79" i="5" s="1"/>
  <c r="AB71" i="5"/>
  <c r="AC71" i="5" s="1"/>
  <c r="AB332" i="5"/>
  <c r="AC332" i="5" s="1"/>
  <c r="AB286" i="5"/>
  <c r="AC286" i="5" s="1"/>
  <c r="AB347" i="5"/>
  <c r="BE347" i="5" s="1"/>
  <c r="AB500" i="5"/>
  <c r="BE500" i="5" s="1"/>
  <c r="AB298" i="5"/>
  <c r="BE298" i="5" s="1"/>
  <c r="AB471" i="5"/>
  <c r="AC471" i="5" s="1"/>
  <c r="AB19" i="5"/>
  <c r="AB359" i="5"/>
  <c r="AD359" i="5" s="1"/>
  <c r="AB254" i="5"/>
  <c r="AD254" i="5" s="1"/>
  <c r="AB283" i="5"/>
  <c r="AC283" i="5" s="1"/>
  <c r="AB32" i="5"/>
  <c r="AD32" i="5" s="1"/>
  <c r="AB39" i="5"/>
  <c r="AD39" i="5" s="1"/>
  <c r="AB34" i="5"/>
  <c r="AC34" i="5" s="1"/>
  <c r="AB210" i="5"/>
  <c r="AC210" i="5" s="1"/>
  <c r="AB233" i="5"/>
  <c r="AD233" i="5" s="1"/>
  <c r="AB432" i="5"/>
  <c r="BE432" i="5" s="1"/>
  <c r="AB232" i="5"/>
  <c r="AD232" i="5" s="1"/>
  <c r="AB454" i="5"/>
  <c r="AD454" i="5" s="1"/>
  <c r="AB315" i="5"/>
  <c r="AD315" i="5" s="1"/>
  <c r="AB75" i="5"/>
  <c r="AC75" i="5" s="1"/>
  <c r="AB519" i="5"/>
  <c r="AD519" i="5" s="1"/>
  <c r="AB429" i="5"/>
  <c r="AC429" i="5" s="1"/>
  <c r="AB35" i="5"/>
  <c r="AD35" i="5" s="1"/>
  <c r="AB116" i="5"/>
  <c r="AD116" i="5" s="1"/>
  <c r="AB552" i="5"/>
  <c r="BE552" i="5" s="1"/>
  <c r="AB479" i="5"/>
  <c r="BE479" i="5" s="1"/>
  <c r="AB426" i="5"/>
  <c r="AC426" i="5" s="1"/>
  <c r="AB521" i="5"/>
  <c r="AD521" i="5" s="1"/>
  <c r="AB209" i="5"/>
  <c r="AC209" i="5" s="1"/>
  <c r="AB409" i="5"/>
  <c r="AD409" i="5" s="1"/>
  <c r="AB260" i="5"/>
  <c r="AC260" i="5" s="1"/>
  <c r="AB235" i="5"/>
  <c r="AC235" i="5" s="1"/>
  <c r="AB206" i="5"/>
  <c r="AD206" i="5" s="1"/>
  <c r="AB325" i="5"/>
  <c r="AD325" i="5" s="1"/>
  <c r="AB223" i="5"/>
  <c r="AD223" i="5" s="1"/>
  <c r="AB414" i="5"/>
  <c r="AC414" i="5" s="1"/>
  <c r="AB281" i="5"/>
  <c r="AC281" i="5" s="1"/>
  <c r="AB267" i="5"/>
  <c r="AD267" i="5" s="1"/>
  <c r="AB303" i="5"/>
  <c r="AD303" i="5" s="1"/>
  <c r="AB455" i="5"/>
  <c r="AD455" i="5" s="1"/>
  <c r="AB188" i="5"/>
  <c r="BE188" i="5" s="1"/>
  <c r="AB557" i="5"/>
  <c r="AD557" i="5" s="1"/>
  <c r="AB534" i="5"/>
  <c r="BE534" i="5" s="1"/>
  <c r="AB329" i="5"/>
  <c r="AD329" i="5" s="1"/>
  <c r="AB105" i="5"/>
  <c r="AC105" i="5" s="1"/>
  <c r="AB66" i="5"/>
  <c r="AC66" i="5" s="1"/>
  <c r="AB317" i="5"/>
  <c r="BE317" i="5" s="1"/>
  <c r="AB161" i="5"/>
  <c r="BE161" i="5" s="1"/>
  <c r="AB47" i="5"/>
  <c r="AC47" i="5" s="1"/>
  <c r="AB464" i="5"/>
  <c r="BE464" i="5" s="1"/>
  <c r="AB259" i="5"/>
  <c r="AD259" i="5" s="1"/>
  <c r="AB192" i="5"/>
  <c r="BE192" i="5" s="1"/>
  <c r="AB169" i="5"/>
  <c r="AD169" i="5" s="1"/>
  <c r="AB483" i="5"/>
  <c r="AC483" i="5" s="1"/>
  <c r="AB389" i="5"/>
  <c r="AD389" i="5" s="1"/>
  <c r="AB307" i="5"/>
  <c r="BE307" i="5" s="1"/>
  <c r="AB331" i="5"/>
  <c r="AC331" i="5" s="1"/>
  <c r="AB365" i="5"/>
  <c r="AC365" i="5" s="1"/>
  <c r="AB178" i="5"/>
  <c r="AD178" i="5" s="1"/>
  <c r="AB181" i="5"/>
  <c r="AD181" i="5" s="1"/>
  <c r="AB372" i="5"/>
  <c r="AD372" i="5" s="1"/>
  <c r="AB73" i="5"/>
  <c r="AD73" i="5" s="1"/>
  <c r="AB537" i="5"/>
  <c r="AD537" i="5" s="1"/>
  <c r="AB11" i="5"/>
  <c r="AC11" i="5" s="1"/>
  <c r="AB8" i="5"/>
  <c r="BE8" i="5" s="1"/>
  <c r="AB108" i="5"/>
  <c r="AC108" i="5" s="1"/>
  <c r="AB237" i="5"/>
  <c r="AC237" i="5" s="1"/>
  <c r="AB184" i="5"/>
  <c r="AD184" i="5" s="1"/>
  <c r="AB183" i="5"/>
  <c r="BE183" i="5" s="1"/>
  <c r="AB246" i="5"/>
  <c r="BE246" i="5" s="1"/>
  <c r="AB36" i="5"/>
  <c r="AD36" i="5" s="1"/>
  <c r="AB345" i="5"/>
  <c r="AD345" i="5" s="1"/>
  <c r="AB24" i="5"/>
  <c r="AC24" i="5" s="1"/>
  <c r="AB185" i="5"/>
  <c r="AD185" i="5" s="1"/>
  <c r="AB395" i="5"/>
  <c r="AD395" i="5" s="1"/>
  <c r="AB91" i="5"/>
  <c r="AC91" i="5" s="1"/>
  <c r="AB152" i="5"/>
  <c r="AD152" i="5" s="1"/>
  <c r="AB48" i="5"/>
  <c r="AD48" i="5" s="1"/>
  <c r="AB416" i="5"/>
  <c r="BE416" i="5" s="1"/>
  <c r="AB509" i="5"/>
  <c r="AD509" i="5" s="1"/>
  <c r="AB538" i="5"/>
  <c r="AC538" i="5" s="1"/>
  <c r="AB396" i="5"/>
  <c r="BE396" i="5" s="1"/>
  <c r="AB252" i="5"/>
  <c r="BE252" i="5" s="1"/>
  <c r="AB459" i="5"/>
  <c r="AC459" i="5" s="1"/>
  <c r="AB349" i="5"/>
  <c r="AD349" i="5" s="1"/>
  <c r="AB436" i="5"/>
  <c r="BE436" i="5" s="1"/>
  <c r="AB447" i="5"/>
  <c r="BE447" i="5" s="1"/>
  <c r="AB248" i="5"/>
  <c r="AC248" i="5" s="1"/>
  <c r="AB546" i="5"/>
  <c r="AD546" i="5" s="1"/>
  <c r="AB45" i="5"/>
  <c r="AD45" i="5" s="1"/>
  <c r="AB95" i="5"/>
  <c r="AD95" i="5" s="1"/>
  <c r="AB99" i="5"/>
  <c r="AD99" i="5" s="1"/>
  <c r="AB367" i="5"/>
  <c r="AD367" i="5" s="1"/>
  <c r="AB399" i="5"/>
  <c r="AD399" i="5" s="1"/>
  <c r="AB122" i="5"/>
  <c r="AC122" i="5" s="1"/>
  <c r="AB52" i="5"/>
  <c r="AD52" i="5" s="1"/>
  <c r="AB536" i="5"/>
  <c r="AD536" i="5" s="1"/>
  <c r="AB193" i="5"/>
  <c r="AD193" i="5" s="1"/>
  <c r="AB391" i="5"/>
  <c r="AC391" i="5" s="1"/>
  <c r="AB417" i="5"/>
  <c r="AC417" i="5" s="1"/>
  <c r="AB433" i="5"/>
  <c r="AD433" i="5" s="1"/>
  <c r="AB211" i="5"/>
  <c r="AD211" i="5" s="1"/>
  <c r="AB266" i="5"/>
  <c r="AC266" i="5" s="1"/>
  <c r="AB10" i="5"/>
  <c r="BE10" i="5" s="1"/>
  <c r="AB503" i="5"/>
  <c r="BE503" i="5" s="1"/>
  <c r="AB28" i="5"/>
  <c r="AD28" i="5" s="1"/>
  <c r="AB101" i="5"/>
  <c r="AD101" i="5" s="1"/>
  <c r="AB189" i="5"/>
  <c r="BE189" i="5" s="1"/>
  <c r="AB481" i="5"/>
  <c r="BE481" i="5" s="1"/>
  <c r="AB143" i="5"/>
  <c r="BE143" i="5" s="1"/>
  <c r="AB163" i="5"/>
  <c r="AC163" i="5" s="1"/>
  <c r="AB427" i="5"/>
  <c r="BE427" i="5" s="1"/>
  <c r="AB263" i="5"/>
  <c r="AD263" i="5" s="1"/>
  <c r="AB264" i="5"/>
  <c r="AD264" i="5" s="1"/>
  <c r="AB216" i="5"/>
  <c r="AC216" i="5" s="1"/>
  <c r="AB119" i="5"/>
  <c r="AD119" i="5" s="1"/>
  <c r="AB449" i="5"/>
  <c r="BE449" i="5" s="1"/>
  <c r="AB296" i="5"/>
  <c r="BE296" i="5" s="1"/>
  <c r="AB145" i="5"/>
  <c r="AD145" i="5" s="1"/>
  <c r="AB98" i="5"/>
  <c r="AC98" i="5" s="1"/>
  <c r="AB136" i="5"/>
  <c r="AD136" i="5" s="1"/>
  <c r="AB125" i="5"/>
  <c r="AD125" i="5" s="1"/>
  <c r="AB282" i="5"/>
  <c r="AC282" i="5" s="1"/>
  <c r="AB424" i="5"/>
  <c r="AD424" i="5" s="1"/>
  <c r="AB470" i="5"/>
  <c r="AD470" i="5" s="1"/>
  <c r="AB366" i="5"/>
  <c r="AD366" i="5" s="1"/>
  <c r="AB382" i="5"/>
  <c r="AD382" i="5" s="1"/>
  <c r="AB153" i="5"/>
  <c r="AC153" i="5" s="1"/>
  <c r="AB310" i="5"/>
  <c r="AC310" i="5" s="1"/>
  <c r="AB65" i="5"/>
  <c r="AC65" i="5" s="1"/>
  <c r="AB137" i="5"/>
  <c r="BE137" i="5" s="1"/>
  <c r="AB213" i="5"/>
  <c r="AC213" i="5" s="1"/>
  <c r="AB505" i="5"/>
  <c r="AD505" i="5" s="1"/>
  <c r="AB174" i="5"/>
  <c r="AD174" i="5" s="1"/>
  <c r="AB77" i="5"/>
  <c r="AC77" i="5" s="1"/>
  <c r="AB486" i="5"/>
  <c r="BE486" i="5" s="1"/>
  <c r="AB227" i="5"/>
  <c r="BE227" i="5" s="1"/>
  <c r="AB177" i="5"/>
  <c r="AD177" i="5" s="1"/>
  <c r="AB37" i="5"/>
  <c r="AC37" i="5" s="1"/>
  <c r="AB362" i="5"/>
  <c r="AD362" i="5" s="1"/>
  <c r="AB144" i="5"/>
  <c r="AD144" i="5" s="1"/>
  <c r="AB64" i="5"/>
  <c r="AC64" i="5" s="1"/>
  <c r="AB280" i="5"/>
  <c r="AD280" i="5" s="1"/>
  <c r="AB352" i="5"/>
  <c r="AD352" i="5" s="1"/>
  <c r="AB162" i="5"/>
  <c r="AD162" i="5" s="1"/>
  <c r="AB453" i="5"/>
  <c r="AC453" i="5" s="1"/>
  <c r="AB212" i="5"/>
  <c r="AC212" i="5" s="1"/>
  <c r="AB256" i="5"/>
  <c r="BE256" i="5" s="1"/>
  <c r="AB406" i="5"/>
  <c r="AC406" i="5" s="1"/>
  <c r="AB271" i="5"/>
  <c r="AD271" i="5" s="1"/>
  <c r="AB510" i="5"/>
  <c r="AC510" i="5" s="1"/>
  <c r="AB498" i="5"/>
  <c r="AD498" i="5" s="1"/>
  <c r="AB202" i="5"/>
  <c r="AC202" i="5" s="1"/>
  <c r="AB241" i="5"/>
  <c r="AC241" i="5" s="1"/>
  <c r="AB494" i="5"/>
  <c r="AD494" i="5" s="1"/>
  <c r="AB311" i="5"/>
  <c r="BE311" i="5" s="1"/>
  <c r="AB12" i="5"/>
  <c r="BE12" i="5" s="1"/>
  <c r="AB506" i="5"/>
  <c r="AD506" i="5" s="1"/>
  <c r="AB287" i="5"/>
  <c r="AD287" i="5" s="1"/>
  <c r="AB376" i="5"/>
  <c r="AD376" i="5" s="1"/>
  <c r="AB268" i="5"/>
  <c r="AD268" i="5" s="1"/>
  <c r="AB507" i="5"/>
  <c r="AC507" i="5" s="1"/>
  <c r="AB485" i="5"/>
  <c r="BE485" i="5" s="1"/>
  <c r="AB321" i="5"/>
  <c r="AD321" i="5" s="1"/>
  <c r="AB501" i="5"/>
  <c r="AC501" i="5" s="1"/>
  <c r="AB234" i="5"/>
  <c r="AD234" i="5" s="1"/>
  <c r="AB239" i="5"/>
  <c r="AD239" i="5" s="1"/>
  <c r="AB277" i="5"/>
  <c r="AC277" i="5" s="1"/>
  <c r="AB81" i="5"/>
  <c r="AD81" i="5" s="1"/>
  <c r="AB487" i="5"/>
  <c r="AD487" i="5" s="1"/>
  <c r="AB72" i="5"/>
  <c r="AD72" i="5" s="1"/>
  <c r="AB493" i="5"/>
  <c r="AD493" i="5" s="1"/>
  <c r="AB322" i="5"/>
  <c r="BE322" i="5" s="1"/>
  <c r="AB159" i="5"/>
  <c r="BE159" i="5" s="1"/>
  <c r="AB554" i="5"/>
  <c r="AD554" i="5" s="1"/>
  <c r="AB255" i="5"/>
  <c r="BE255" i="5" s="1"/>
  <c r="AB398" i="5"/>
  <c r="AD398" i="5" s="1"/>
  <c r="AB76" i="5"/>
  <c r="AD76" i="5" s="1"/>
  <c r="AB170" i="5"/>
  <c r="BE170" i="5" s="1"/>
  <c r="AB353" i="5"/>
  <c r="AD353" i="5" s="1"/>
  <c r="AB334" i="5"/>
  <c r="AD334" i="5" s="1"/>
  <c r="AB475" i="5"/>
  <c r="AD475" i="5" s="1"/>
  <c r="AB364" i="5"/>
  <c r="AC364" i="5" s="1"/>
  <c r="AB326" i="5"/>
  <c r="AC326" i="5" s="1"/>
  <c r="AB20" i="5"/>
  <c r="AC20" i="5" s="1"/>
  <c r="AB466" i="5"/>
  <c r="BE466" i="5" s="1"/>
  <c r="AB127" i="5"/>
  <c r="AD127" i="5" s="1"/>
  <c r="AB27" i="5"/>
  <c r="AC27" i="5" s="1"/>
  <c r="AB451" i="5"/>
  <c r="AC451" i="5" s="1"/>
  <c r="AB25" i="5"/>
  <c r="AC25" i="5" s="1"/>
  <c r="AB465" i="5"/>
  <c r="AD465" i="5" s="1"/>
  <c r="AB273" i="5"/>
  <c r="AC273" i="5" s="1"/>
  <c r="AB142" i="5"/>
  <c r="BE142" i="5" s="1"/>
  <c r="AB157" i="5"/>
  <c r="BE157" i="5" s="1"/>
  <c r="AB551" i="5"/>
  <c r="AD551" i="5" s="1"/>
  <c r="AB218" i="5"/>
  <c r="AD218" i="5" s="1"/>
  <c r="AB165" i="5"/>
  <c r="BE165" i="5" s="1"/>
  <c r="AB314" i="5"/>
  <c r="AD314" i="5" s="1"/>
  <c r="AB13" i="5"/>
  <c r="BE13" i="5" s="1"/>
  <c r="AE7" i="5"/>
  <c r="AE155" i="5"/>
  <c r="AE124" i="5"/>
  <c r="AE209" i="5"/>
  <c r="AE510" i="5"/>
  <c r="AE431" i="5"/>
  <c r="AE112" i="5"/>
  <c r="AE560" i="5"/>
  <c r="AE465" i="5"/>
  <c r="AE401" i="5"/>
  <c r="AE337" i="5"/>
  <c r="AE242" i="5"/>
  <c r="AE479" i="5"/>
  <c r="AE310" i="5"/>
  <c r="AE341" i="5"/>
  <c r="AE372" i="5"/>
  <c r="AE403" i="5"/>
  <c r="AE426" i="5"/>
  <c r="AE457" i="5"/>
  <c r="AE488" i="5"/>
  <c r="AE10" i="5"/>
  <c r="AE519" i="5"/>
  <c r="AE110" i="5"/>
  <c r="AE141" i="5"/>
  <c r="AE172" i="5"/>
  <c r="AE178" i="5"/>
  <c r="AE541" i="5"/>
  <c r="AE446" i="5"/>
  <c r="AE487" i="5"/>
  <c r="AE48" i="5"/>
  <c r="AE496" i="5"/>
  <c r="AE432" i="5"/>
  <c r="AE368" i="5"/>
  <c r="AE273" i="5"/>
  <c r="AE535" i="5"/>
  <c r="AE246" i="5"/>
  <c r="AE277" i="5"/>
  <c r="AE308" i="5"/>
  <c r="AE339" i="5"/>
  <c r="AE362" i="5"/>
  <c r="AE393" i="5"/>
  <c r="AE424" i="5"/>
  <c r="AE127" i="5"/>
  <c r="AE558" i="5"/>
  <c r="AE46" i="5"/>
  <c r="AE77" i="5"/>
  <c r="AE108" i="5"/>
  <c r="AE139" i="5"/>
  <c r="AE162" i="5"/>
  <c r="AE193" i="5"/>
  <c r="AE224" i="5"/>
  <c r="AE295" i="5"/>
  <c r="AE358" i="5"/>
  <c r="AE389" i="5"/>
  <c r="AE420" i="5"/>
  <c r="AE451" i="5"/>
  <c r="AE319" i="5"/>
  <c r="AE29" i="5"/>
  <c r="AE477" i="5"/>
  <c r="AE382" i="5"/>
  <c r="AE543" i="5"/>
  <c r="AE31" i="5"/>
  <c r="AE87" i="5"/>
  <c r="AE13" i="5"/>
  <c r="AE304" i="5"/>
  <c r="AE23" i="5"/>
  <c r="AE182" i="5"/>
  <c r="AE213" i="5"/>
  <c r="AE244" i="5"/>
  <c r="AE275" i="5"/>
  <c r="AE298" i="5"/>
  <c r="AE329" i="5"/>
  <c r="AE360" i="5"/>
  <c r="AE247" i="5"/>
  <c r="AE494" i="5"/>
  <c r="AE525" i="5"/>
  <c r="AE556" i="5"/>
  <c r="AE44" i="5"/>
  <c r="AE75" i="5"/>
  <c r="AE98" i="5"/>
  <c r="AE129" i="5"/>
  <c r="AE160" i="5"/>
  <c r="AE351" i="5"/>
  <c r="AE294" i="5"/>
  <c r="AE325" i="5"/>
  <c r="AE356" i="5"/>
  <c r="AE387" i="5"/>
  <c r="AE240" i="5"/>
  <c r="AE60" i="5"/>
  <c r="AE508" i="5"/>
  <c r="AE413" i="5"/>
  <c r="AE318" i="5"/>
  <c r="AE254" i="5"/>
  <c r="AE190" i="5"/>
  <c r="AE143" i="5"/>
  <c r="AE9" i="5"/>
  <c r="AE79" i="5"/>
  <c r="AE118" i="5"/>
  <c r="AE149" i="5"/>
  <c r="AE180" i="5"/>
  <c r="AE211" i="5"/>
  <c r="AE234" i="5"/>
  <c r="AE265" i="5"/>
  <c r="AE296" i="5"/>
  <c r="AE303" i="5"/>
  <c r="AE430" i="5"/>
  <c r="AE461" i="5"/>
  <c r="AE492" i="5"/>
  <c r="AE523" i="5"/>
  <c r="AE546" i="5"/>
  <c r="AE34" i="5"/>
  <c r="AE65" i="5"/>
  <c r="AE96" i="5"/>
  <c r="AE407" i="5"/>
  <c r="AE230" i="5"/>
  <c r="AE261" i="5"/>
  <c r="AE292" i="5"/>
  <c r="AE323" i="5"/>
  <c r="AE135" i="5"/>
  <c r="AE91" i="5"/>
  <c r="AE539" i="5"/>
  <c r="AE444" i="5"/>
  <c r="AE349" i="5"/>
  <c r="AE285" i="5"/>
  <c r="AE221" i="5"/>
  <c r="AE126" i="5"/>
  <c r="AE191" i="5"/>
  <c r="AE71" i="5"/>
  <c r="AE54" i="5"/>
  <c r="AE85" i="5"/>
  <c r="AE116" i="5"/>
  <c r="AE147" i="5"/>
  <c r="AE170" i="5"/>
  <c r="AE201" i="5"/>
  <c r="AE232" i="5"/>
  <c r="AE359" i="5"/>
  <c r="AE366" i="5"/>
  <c r="AE397" i="5"/>
  <c r="AE428" i="5"/>
  <c r="AE459" i="5"/>
  <c r="AE482" i="5"/>
  <c r="AE513" i="5"/>
  <c r="AE544" i="5"/>
  <c r="AE32" i="5"/>
  <c r="AE463" i="5"/>
  <c r="AE166" i="5"/>
  <c r="AE197" i="5"/>
  <c r="AE228" i="5"/>
  <c r="AE259" i="5"/>
  <c r="AE62" i="5"/>
  <c r="AE114" i="5"/>
  <c r="AE27" i="5"/>
  <c r="AE475" i="5"/>
  <c r="AE380" i="5"/>
  <c r="AE316" i="5"/>
  <c r="AE252" i="5"/>
  <c r="AE157" i="5"/>
  <c r="AE311" i="5"/>
  <c r="AE502" i="5"/>
  <c r="AE533" i="5"/>
  <c r="AE21" i="5"/>
  <c r="AE52" i="5"/>
  <c r="AE83" i="5"/>
  <c r="AE106" i="5"/>
  <c r="AE137" i="5"/>
  <c r="AE168" i="5"/>
  <c r="AE415" i="5"/>
  <c r="AE302" i="5"/>
  <c r="AE333" i="5"/>
  <c r="AE364" i="5"/>
  <c r="AE395" i="5"/>
  <c r="AE418" i="5"/>
  <c r="AE449" i="5"/>
  <c r="AE480" i="5"/>
  <c r="AE11" i="5"/>
  <c r="AE455" i="5"/>
  <c r="AE102" i="5"/>
  <c r="AE133" i="5"/>
  <c r="AE164" i="5"/>
  <c r="AE195" i="5"/>
  <c r="AE93" i="5"/>
  <c r="AE145" i="5"/>
  <c r="AE50" i="5"/>
  <c r="AE498" i="5"/>
  <c r="AE411" i="5"/>
  <c r="AE347" i="5"/>
  <c r="AE283" i="5"/>
  <c r="AE188" i="5"/>
  <c r="AE367" i="5"/>
  <c r="AE438" i="5"/>
  <c r="AE469" i="5"/>
  <c r="AE500" i="5"/>
  <c r="AE531" i="5"/>
  <c r="AE554" i="5"/>
  <c r="AE42" i="5"/>
  <c r="AE73" i="5"/>
  <c r="AE104" i="5"/>
  <c r="AE471" i="5"/>
  <c r="AE238" i="5"/>
  <c r="AE269" i="5"/>
  <c r="AE300" i="5"/>
  <c r="AE331" i="5"/>
  <c r="AE354" i="5"/>
  <c r="AE385" i="5"/>
  <c r="AE416" i="5"/>
  <c r="AE63" i="5"/>
  <c r="AE550" i="5"/>
  <c r="AE38" i="5"/>
  <c r="AE69" i="5"/>
  <c r="AE100" i="5"/>
  <c r="AE131" i="5"/>
  <c r="AE375" i="5"/>
  <c r="AE176" i="5"/>
  <c r="AE81" i="5"/>
  <c r="AE529" i="5"/>
  <c r="AE434" i="5"/>
  <c r="AE370" i="5"/>
  <c r="AE306" i="5"/>
  <c r="AE219" i="5"/>
  <c r="AE423" i="5"/>
  <c r="AE374" i="5"/>
  <c r="AE405" i="5"/>
  <c r="AE436" i="5"/>
  <c r="AE467" i="5"/>
  <c r="AE490" i="5"/>
  <c r="AE521" i="5"/>
  <c r="AE552" i="5"/>
  <c r="AE40" i="5"/>
  <c r="AE527" i="5"/>
  <c r="AE174" i="5"/>
  <c r="AE205" i="5"/>
  <c r="AE236" i="5"/>
  <c r="AE267" i="5"/>
  <c r="AE290" i="5"/>
  <c r="AE321" i="5"/>
  <c r="AE352" i="5"/>
  <c r="AE183" i="5"/>
  <c r="AE486" i="5"/>
  <c r="AE517" i="5"/>
  <c r="AE548" i="5"/>
  <c r="AE36" i="5"/>
  <c r="AE67" i="5"/>
  <c r="AE484" i="5"/>
  <c r="AE154" i="5"/>
  <c r="AE185" i="5"/>
  <c r="AE216" i="5"/>
  <c r="AE231" i="5"/>
  <c r="AE350" i="5"/>
  <c r="AE381" i="5"/>
  <c r="AE412" i="5"/>
  <c r="AE443" i="5"/>
  <c r="AE466" i="5"/>
  <c r="AE497" i="5"/>
  <c r="AE528" i="5"/>
  <c r="AE8" i="5"/>
  <c r="AE327" i="5"/>
  <c r="AE86" i="5"/>
  <c r="AE117" i="5"/>
  <c r="AE148" i="5"/>
  <c r="AE179" i="5"/>
  <c r="AE202" i="5"/>
  <c r="AE233" i="5"/>
  <c r="AE264" i="5"/>
  <c r="AE103" i="5"/>
  <c r="AE334" i="5"/>
  <c r="AE365" i="5"/>
  <c r="AE396" i="5"/>
  <c r="AE427" i="5"/>
  <c r="AE450" i="5"/>
  <c r="AE481" i="5"/>
  <c r="AE512" i="5"/>
  <c r="AE255" i="5"/>
  <c r="AE199" i="5"/>
  <c r="AE70" i="5"/>
  <c r="AE101" i="5"/>
  <c r="AE132" i="5"/>
  <c r="AE163" i="5"/>
  <c r="AE186" i="5"/>
  <c r="AE217" i="5"/>
  <c r="AE248" i="5"/>
  <c r="AE203" i="5"/>
  <c r="AE515" i="5"/>
  <c r="AE90" i="5"/>
  <c r="AE121" i="5"/>
  <c r="AE152" i="5"/>
  <c r="AE287" i="5"/>
  <c r="AE286" i="5"/>
  <c r="AE317" i="5"/>
  <c r="AE348" i="5"/>
  <c r="AE379" i="5"/>
  <c r="AE402" i="5"/>
  <c r="AE433" i="5"/>
  <c r="AE464" i="5"/>
  <c r="AE447" i="5"/>
  <c r="AE534" i="5"/>
  <c r="AE22" i="5"/>
  <c r="AE53" i="5"/>
  <c r="AE84" i="5"/>
  <c r="AE115" i="5"/>
  <c r="AE138" i="5"/>
  <c r="AE169" i="5"/>
  <c r="AE200" i="5"/>
  <c r="AE159" i="5"/>
  <c r="AE270" i="5"/>
  <c r="AE301" i="5"/>
  <c r="AE332" i="5"/>
  <c r="AE363" i="5"/>
  <c r="AE386" i="5"/>
  <c r="AE417" i="5"/>
  <c r="AE448" i="5"/>
  <c r="AE439" i="5"/>
  <c r="AE518" i="5"/>
  <c r="AE549" i="5"/>
  <c r="AE37" i="5"/>
  <c r="AE68" i="5"/>
  <c r="AE99" i="5"/>
  <c r="AE122" i="5"/>
  <c r="AE153" i="5"/>
  <c r="AE184" i="5"/>
  <c r="AE226" i="5"/>
  <c r="AE538" i="5"/>
  <c r="AE26" i="5"/>
  <c r="AE57" i="5"/>
  <c r="AE88" i="5"/>
  <c r="AE343" i="5"/>
  <c r="AE222" i="5"/>
  <c r="AE253" i="5"/>
  <c r="AE284" i="5"/>
  <c r="AE315" i="5"/>
  <c r="AE338" i="5"/>
  <c r="AE369" i="5"/>
  <c r="AE400" i="5"/>
  <c r="AE55" i="5"/>
  <c r="AE470" i="5"/>
  <c r="AE501" i="5"/>
  <c r="AE532" i="5"/>
  <c r="AE20" i="5"/>
  <c r="AE51" i="5"/>
  <c r="AE74" i="5"/>
  <c r="AE105" i="5"/>
  <c r="AE136" i="5"/>
  <c r="AE215" i="5"/>
  <c r="AE206" i="5"/>
  <c r="AE237" i="5"/>
  <c r="AE268" i="5"/>
  <c r="AE299" i="5"/>
  <c r="AE322" i="5"/>
  <c r="AE353" i="5"/>
  <c r="AE384" i="5"/>
  <c r="AE495" i="5"/>
  <c r="AE454" i="5"/>
  <c r="AE485" i="5"/>
  <c r="AE516" i="5"/>
  <c r="AE547" i="5"/>
  <c r="AE35" i="5"/>
  <c r="AE58" i="5"/>
  <c r="AE89" i="5"/>
  <c r="AE120" i="5"/>
  <c r="AE257" i="5"/>
  <c r="AE474" i="5"/>
  <c r="AE505" i="5"/>
  <c r="AE536" i="5"/>
  <c r="AE24" i="5"/>
  <c r="AE399" i="5"/>
  <c r="AE158" i="5"/>
  <c r="AE189" i="5"/>
  <c r="AE220" i="5"/>
  <c r="AE251" i="5"/>
  <c r="AE274" i="5"/>
  <c r="AE305" i="5"/>
  <c r="AE336" i="5"/>
  <c r="AE111" i="5"/>
  <c r="AE406" i="5"/>
  <c r="AE437" i="5"/>
  <c r="AE468" i="5"/>
  <c r="AE499" i="5"/>
  <c r="AE522" i="5"/>
  <c r="AE553" i="5"/>
  <c r="AE41" i="5"/>
  <c r="AE72" i="5"/>
  <c r="AE271" i="5"/>
  <c r="AE142" i="5"/>
  <c r="AE173" i="5"/>
  <c r="AE204" i="5"/>
  <c r="AE235" i="5"/>
  <c r="AE258" i="5"/>
  <c r="AE289" i="5"/>
  <c r="AE320" i="5"/>
  <c r="AE551" i="5"/>
  <c r="AE390" i="5"/>
  <c r="AE421" i="5"/>
  <c r="AE452" i="5"/>
  <c r="AE483" i="5"/>
  <c r="AE506" i="5"/>
  <c r="AE537" i="5"/>
  <c r="AE25" i="5"/>
  <c r="AE56" i="5"/>
  <c r="AE288" i="5"/>
  <c r="AE410" i="5"/>
  <c r="AE441" i="5"/>
  <c r="AE472" i="5"/>
  <c r="AE12" i="5"/>
  <c r="AE391" i="5"/>
  <c r="AE94" i="5"/>
  <c r="AE125" i="5"/>
  <c r="AE156" i="5"/>
  <c r="AE187" i="5"/>
  <c r="AE210" i="5"/>
  <c r="AE241" i="5"/>
  <c r="AE272" i="5"/>
  <c r="AE167" i="5"/>
  <c r="AE342" i="5"/>
  <c r="AE373" i="5"/>
  <c r="AE404" i="5"/>
  <c r="AE435" i="5"/>
  <c r="AE458" i="5"/>
  <c r="AE489" i="5"/>
  <c r="AE520" i="5"/>
  <c r="AE383" i="5"/>
  <c r="AE263" i="5"/>
  <c r="AE78" i="5"/>
  <c r="AE109" i="5"/>
  <c r="AE140" i="5"/>
  <c r="AE171" i="5"/>
  <c r="AE194" i="5"/>
  <c r="AE225" i="5"/>
  <c r="AE256" i="5"/>
  <c r="AE39" i="5"/>
  <c r="AE326" i="5"/>
  <c r="AE357" i="5"/>
  <c r="AE388" i="5"/>
  <c r="AE419" i="5"/>
  <c r="AE442" i="5"/>
  <c r="AE473" i="5"/>
  <c r="AE504" i="5"/>
  <c r="AE239" i="5"/>
  <c r="AE346" i="5"/>
  <c r="AE377" i="5"/>
  <c r="AE408" i="5"/>
  <c r="AE511" i="5"/>
  <c r="AE542" i="5"/>
  <c r="AE30" i="5"/>
  <c r="AE61" i="5"/>
  <c r="AE92" i="5"/>
  <c r="AE123" i="5"/>
  <c r="AE146" i="5"/>
  <c r="AE177" i="5"/>
  <c r="AE208" i="5"/>
  <c r="AE223" i="5"/>
  <c r="AE278" i="5"/>
  <c r="AE309" i="5"/>
  <c r="AE340" i="5"/>
  <c r="AE371" i="5"/>
  <c r="AE394" i="5"/>
  <c r="AE425" i="5"/>
  <c r="AE456" i="5"/>
  <c r="AE503" i="5"/>
  <c r="AE526" i="5"/>
  <c r="AE557" i="5"/>
  <c r="AE45" i="5"/>
  <c r="AE76" i="5"/>
  <c r="AE107" i="5"/>
  <c r="AE130" i="5"/>
  <c r="AE161" i="5"/>
  <c r="AE192" i="5"/>
  <c r="AE95" i="5"/>
  <c r="AE262" i="5"/>
  <c r="AE293" i="5"/>
  <c r="AE324" i="5"/>
  <c r="AE355" i="5"/>
  <c r="AE378" i="5"/>
  <c r="AE409" i="5"/>
  <c r="AE440" i="5"/>
  <c r="AE422" i="5"/>
  <c r="AE282" i="5"/>
  <c r="AE313" i="5"/>
  <c r="AE344" i="5"/>
  <c r="AE119" i="5"/>
  <c r="AE478" i="5"/>
  <c r="AE509" i="5"/>
  <c r="AE540" i="5"/>
  <c r="AE28" i="5"/>
  <c r="AE59" i="5"/>
  <c r="AE82" i="5"/>
  <c r="AE113" i="5"/>
  <c r="AE144" i="5"/>
  <c r="AE279" i="5"/>
  <c r="AE214" i="5"/>
  <c r="AE245" i="5"/>
  <c r="AE276" i="5"/>
  <c r="AE307" i="5"/>
  <c r="AE330" i="5"/>
  <c r="AE361" i="5"/>
  <c r="AE392" i="5"/>
  <c r="AE559" i="5"/>
  <c r="AE462" i="5"/>
  <c r="AE493" i="5"/>
  <c r="AE524" i="5"/>
  <c r="AE555" i="5"/>
  <c r="AE43" i="5"/>
  <c r="AE66" i="5"/>
  <c r="AE97" i="5"/>
  <c r="AE128" i="5"/>
  <c r="AE151" i="5"/>
  <c r="AE198" i="5"/>
  <c r="AE229" i="5"/>
  <c r="AE260" i="5"/>
  <c r="AE291" i="5"/>
  <c r="AE314" i="5"/>
  <c r="AE345" i="5"/>
  <c r="AE376" i="5"/>
  <c r="AE453" i="5"/>
  <c r="AE218" i="5"/>
  <c r="AE249" i="5"/>
  <c r="AE280" i="5"/>
  <c r="AE175" i="5"/>
  <c r="AE414" i="5"/>
  <c r="AE445" i="5"/>
  <c r="AE476" i="5"/>
  <c r="AE507" i="5"/>
  <c r="AE530" i="5"/>
  <c r="AE19" i="5"/>
  <c r="AE49" i="5"/>
  <c r="AE80" i="5"/>
  <c r="AE335" i="5"/>
  <c r="AE150" i="5"/>
  <c r="AE181" i="5"/>
  <c r="AE212" i="5"/>
  <c r="AE243" i="5"/>
  <c r="AE266" i="5"/>
  <c r="AE297" i="5"/>
  <c r="AE328" i="5"/>
  <c r="AE47" i="5"/>
  <c r="AE398" i="5"/>
  <c r="AE429" i="5"/>
  <c r="AE460" i="5"/>
  <c r="AE491" i="5"/>
  <c r="AE514" i="5"/>
  <c r="AE545" i="5"/>
  <c r="AE33" i="5"/>
  <c r="AE64" i="5"/>
  <c r="AE207" i="5"/>
  <c r="AE134" i="5"/>
  <c r="AE165" i="5"/>
  <c r="AE196" i="5"/>
  <c r="AE227" i="5"/>
  <c r="AE250" i="5"/>
  <c r="AE281" i="5"/>
  <c r="AE312" i="5"/>
  <c r="AL545" i="5"/>
  <c r="AL499" i="5"/>
  <c r="AL433" i="5"/>
  <c r="AL373" i="5"/>
  <c r="AL392" i="5"/>
  <c r="AL377" i="5"/>
  <c r="AL486" i="5"/>
  <c r="AL370" i="5"/>
  <c r="AL383" i="5"/>
  <c r="AL412" i="5"/>
  <c r="AL505" i="5"/>
  <c r="AL273" i="5"/>
  <c r="AL137" i="5"/>
  <c r="AL243" i="5"/>
  <c r="AL400" i="5"/>
  <c r="AL116" i="5"/>
  <c r="AL174" i="5"/>
  <c r="AL402" i="5"/>
  <c r="AL53" i="5"/>
  <c r="AL215" i="5"/>
  <c r="AL108" i="5"/>
  <c r="AL224" i="5"/>
  <c r="AL422" i="5"/>
  <c r="AL70" i="5"/>
  <c r="AL131" i="5"/>
  <c r="AL286" i="5"/>
  <c r="AL537" i="5"/>
  <c r="AL36" i="5"/>
  <c r="AL181" i="5"/>
  <c r="AL313" i="5"/>
  <c r="AL129" i="5"/>
  <c r="AL266" i="5"/>
  <c r="AL338" i="5"/>
  <c r="AL20" i="5"/>
  <c r="AL197" i="5"/>
  <c r="AL475" i="5"/>
  <c r="AL76" i="5"/>
  <c r="AL445" i="5"/>
  <c r="AL414" i="5"/>
  <c r="AL64" i="5"/>
  <c r="AL167" i="5"/>
  <c r="AL442" i="5"/>
  <c r="AL152" i="5"/>
  <c r="AL196" i="5"/>
  <c r="AL186" i="5"/>
  <c r="AL376" i="5"/>
  <c r="AL229" i="5"/>
  <c r="AL147" i="5"/>
  <c r="AL78" i="5"/>
  <c r="AL546" i="5"/>
  <c r="AL52" i="5"/>
  <c r="AL284" i="5"/>
  <c r="AL269" i="5"/>
  <c r="AL554" i="5"/>
  <c r="AL494" i="5"/>
  <c r="AL432" i="5"/>
  <c r="AL331" i="5"/>
  <c r="AL318" i="5"/>
  <c r="AL349" i="5"/>
  <c r="AL466" i="5"/>
  <c r="AL362" i="5"/>
  <c r="AL367" i="5"/>
  <c r="AL381" i="5"/>
  <c r="AL496" i="5"/>
  <c r="AL448" i="5"/>
  <c r="AL97" i="5"/>
  <c r="AL212" i="5"/>
  <c r="AL251" i="5"/>
  <c r="AL91" i="5"/>
  <c r="AL162" i="5"/>
  <c r="AL289" i="5"/>
  <c r="AL259" i="5"/>
  <c r="AL90" i="5"/>
  <c r="AL74" i="5"/>
  <c r="AL270" i="5"/>
  <c r="AL532" i="5"/>
  <c r="AL92" i="5"/>
  <c r="AL246" i="5"/>
  <c r="AL479" i="5"/>
  <c r="AL525" i="5"/>
  <c r="AL103" i="5"/>
  <c r="AL337" i="5"/>
  <c r="AL529" i="5"/>
  <c r="AL173" i="5"/>
  <c r="AL157" i="5"/>
  <c r="AL538" i="5"/>
  <c r="AL177" i="5"/>
  <c r="AL144" i="5"/>
  <c r="AL437" i="5"/>
  <c r="AL41" i="5"/>
  <c r="AL127" i="5"/>
  <c r="AL350" i="5"/>
  <c r="AL82" i="5"/>
  <c r="AL184" i="5"/>
  <c r="AL278" i="5"/>
  <c r="AL218" i="5"/>
  <c r="AL214" i="5"/>
  <c r="AL155" i="5"/>
  <c r="AL38" i="5"/>
  <c r="AL303" i="5"/>
  <c r="AL156" i="5"/>
  <c r="AL122" i="5"/>
  <c r="AL109" i="5"/>
  <c r="AL150" i="5"/>
  <c r="AL280" i="5"/>
  <c r="AL298" i="5"/>
  <c r="AL339" i="5"/>
  <c r="AL314" i="5"/>
  <c r="AL335" i="5"/>
  <c r="AL281" i="5"/>
  <c r="AL287" i="5"/>
  <c r="AL395" i="5"/>
  <c r="AL516" i="5"/>
  <c r="AL312" i="5"/>
  <c r="AL481" i="5"/>
  <c r="AL346" i="5"/>
  <c r="AL503" i="5"/>
  <c r="AL438" i="5"/>
  <c r="AL526" i="5"/>
  <c r="AL492" i="5"/>
  <c r="AL531" i="5"/>
  <c r="AL13" i="5"/>
  <c r="AL559" i="5"/>
  <c r="AL482" i="5"/>
  <c r="AL407" i="5"/>
  <c r="AL316" i="5"/>
  <c r="AL297" i="5"/>
  <c r="AL327" i="5"/>
  <c r="AL451" i="5"/>
  <c r="AL356" i="5"/>
  <c r="AL334" i="5"/>
  <c r="AL363" i="5"/>
  <c r="AL454" i="5"/>
  <c r="AL241" i="5"/>
  <c r="AL88" i="5"/>
  <c r="AL211" i="5"/>
  <c r="AL217" i="5"/>
  <c r="AL84" i="5"/>
  <c r="AL113" i="5"/>
  <c r="AL268" i="5"/>
  <c r="AL132" i="5"/>
  <c r="AL247" i="5"/>
  <c r="AL258" i="5"/>
  <c r="AL221" i="5"/>
  <c r="AL524" i="5"/>
  <c r="AL58" i="5"/>
  <c r="AL230" i="5"/>
  <c r="AL302" i="5"/>
  <c r="AL61" i="5"/>
  <c r="AL23" i="5"/>
  <c r="AL305" i="5"/>
  <c r="AL32" i="5"/>
  <c r="AL360" i="5"/>
  <c r="AL254" i="5"/>
  <c r="AL550" i="5"/>
  <c r="AL176" i="5"/>
  <c r="AL163" i="5"/>
  <c r="AL358" i="5"/>
  <c r="AL24" i="5"/>
  <c r="AL240" i="5"/>
  <c r="AL468" i="5"/>
  <c r="AL57" i="5"/>
  <c r="AL509" i="5"/>
  <c r="AL361" i="5"/>
  <c r="AL556" i="5"/>
  <c r="AL301" i="5"/>
  <c r="AL200" i="5"/>
  <c r="AL28" i="5"/>
  <c r="AL45" i="5"/>
  <c r="AL172" i="5"/>
  <c r="AL124" i="5"/>
  <c r="AL21" i="5"/>
  <c r="AL206" i="5"/>
  <c r="AL357" i="5"/>
  <c r="AL332" i="5"/>
  <c r="AL195" i="5"/>
  <c r="AL310" i="5"/>
  <c r="AL340" i="5"/>
  <c r="AL290" i="5"/>
  <c r="AL256" i="5"/>
  <c r="AL399" i="5"/>
  <c r="AL552" i="5"/>
  <c r="AL388" i="5"/>
  <c r="AL467" i="5"/>
  <c r="AL380" i="5"/>
  <c r="AL507" i="5"/>
  <c r="AL460" i="5"/>
  <c r="AL523" i="5"/>
  <c r="AL547" i="5"/>
  <c r="AL461" i="5"/>
  <c r="AL405" i="5"/>
  <c r="AL292" i="5"/>
  <c r="AL277" i="5"/>
  <c r="AL300" i="5"/>
  <c r="AL449" i="5"/>
  <c r="AL348" i="5"/>
  <c r="AL307" i="5"/>
  <c r="AL320" i="5"/>
  <c r="AL423" i="5"/>
  <c r="AL192" i="5"/>
  <c r="AL80" i="5"/>
  <c r="AL208" i="5"/>
  <c r="AL198" i="5"/>
  <c r="AL77" i="5"/>
  <c r="AL104" i="5"/>
  <c r="AL203" i="5"/>
  <c r="AL237" i="5"/>
  <c r="AL542" i="5"/>
  <c r="AL55" i="5"/>
  <c r="AL317" i="5"/>
  <c r="AL96" i="5"/>
  <c r="AL161" i="5"/>
  <c r="AL168" i="5"/>
  <c r="AL417" i="5"/>
  <c r="AL79" i="5"/>
  <c r="AL34" i="5"/>
  <c r="AL483" i="5"/>
  <c r="AL48" i="5"/>
  <c r="AL89" i="5"/>
  <c r="AL42" i="5"/>
  <c r="AL533" i="5"/>
  <c r="AL120" i="5"/>
  <c r="AL263" i="5"/>
  <c r="AL425" i="5"/>
  <c r="AL44" i="5"/>
  <c r="AL165" i="5"/>
  <c r="AL365" i="5"/>
  <c r="AL27" i="5"/>
  <c r="AL244" i="5"/>
  <c r="AL299" i="5"/>
  <c r="AL187" i="5"/>
  <c r="AL558" i="5"/>
  <c r="AL207" i="5"/>
  <c r="AL75" i="5"/>
  <c r="AL46" i="5"/>
  <c r="AL188" i="5"/>
  <c r="AL170" i="5"/>
  <c r="AL30" i="5"/>
  <c r="AL31" i="5"/>
  <c r="AL391" i="5"/>
  <c r="AL343" i="5"/>
  <c r="AL231" i="5"/>
  <c r="AL396" i="5"/>
  <c r="AL354" i="5"/>
  <c r="AL304" i="5"/>
  <c r="AL283" i="5"/>
  <c r="AL411" i="5"/>
  <c r="AL415" i="5"/>
  <c r="AL447" i="5"/>
  <c r="AL508" i="5"/>
  <c r="AL410" i="5"/>
  <c r="AL514" i="5"/>
  <c r="AL431" i="5"/>
  <c r="AL560" i="5"/>
  <c r="AL427" i="5"/>
  <c r="AL541" i="5"/>
  <c r="AL456" i="5"/>
  <c r="AL404" i="5"/>
  <c r="AL512" i="5"/>
  <c r="AL544" i="5"/>
  <c r="AL518" i="5"/>
  <c r="AL421" i="5"/>
  <c r="AL323" i="5"/>
  <c r="AL275" i="5"/>
  <c r="AL282" i="5"/>
  <c r="AL408" i="5"/>
  <c r="AL153" i="5"/>
  <c r="AL233" i="5"/>
  <c r="AL204" i="5"/>
  <c r="AL175" i="5"/>
  <c r="AL71" i="5"/>
  <c r="AL87" i="5"/>
  <c r="AL138" i="5"/>
  <c r="AL159" i="5"/>
  <c r="AL100" i="5"/>
  <c r="AL194" i="5"/>
  <c r="AL450" i="5"/>
  <c r="AL56" i="5"/>
  <c r="AL169" i="5"/>
  <c r="AL227" i="5"/>
  <c r="AL353" i="5"/>
  <c r="AL35" i="5"/>
  <c r="AL81" i="5"/>
  <c r="AL322" i="5"/>
  <c r="AL67" i="5"/>
  <c r="AL330" i="5"/>
  <c r="AL390" i="5"/>
  <c r="AL69" i="5"/>
  <c r="AL178" i="5"/>
  <c r="AL205" i="5"/>
  <c r="AL341" i="5"/>
  <c r="AL189" i="5"/>
  <c r="AL345" i="5"/>
  <c r="AL434" i="5"/>
  <c r="AL68" i="5"/>
  <c r="AL111" i="5"/>
  <c r="AL294" i="5"/>
  <c r="AL166" i="5"/>
  <c r="AL94" i="5"/>
  <c r="AL199" i="5"/>
  <c r="AL118" i="5"/>
  <c r="AL22" i="5"/>
  <c r="AL223" i="5"/>
  <c r="AL201" i="5"/>
  <c r="AL193" i="5"/>
  <c r="AL110" i="5"/>
  <c r="AL105" i="5"/>
  <c r="AL382" i="5"/>
  <c r="AL10" i="5"/>
  <c r="AL528" i="5"/>
  <c r="AL452" i="5"/>
  <c r="AL394" i="5"/>
  <c r="AL469" i="5"/>
  <c r="AL491" i="5"/>
  <c r="AL502" i="5"/>
  <c r="AL418" i="5"/>
  <c r="AL311" i="5"/>
  <c r="AL476" i="5"/>
  <c r="AL279" i="5"/>
  <c r="AL375" i="5"/>
  <c r="AL151" i="5"/>
  <c r="AL140" i="5"/>
  <c r="AL158" i="5"/>
  <c r="AL142" i="5"/>
  <c r="AL261" i="5"/>
  <c r="AL72" i="5"/>
  <c r="AL114" i="5"/>
  <c r="AL133" i="5"/>
  <c r="AL98" i="5"/>
  <c r="AL368" i="5"/>
  <c r="AL295" i="5"/>
  <c r="AL93" i="5"/>
  <c r="AL226" i="5"/>
  <c r="AL309" i="5"/>
  <c r="AL325" i="5"/>
  <c r="AL65" i="5"/>
  <c r="AL39" i="5"/>
  <c r="AL428" i="5"/>
  <c r="AL54" i="5"/>
  <c r="AL95" i="5"/>
  <c r="AL306" i="5"/>
  <c r="AL49" i="5"/>
  <c r="AL123" i="5"/>
  <c r="AL238" i="5"/>
  <c r="AL540" i="5"/>
  <c r="AL106" i="5"/>
  <c r="AL73" i="5"/>
  <c r="AL536" i="5"/>
  <c r="AL107" i="5"/>
  <c r="AL160" i="5"/>
  <c r="AL444" i="5"/>
  <c r="AL164" i="5"/>
  <c r="AL141" i="5"/>
  <c r="AL190" i="5"/>
  <c r="AL182" i="5"/>
  <c r="AL37" i="5"/>
  <c r="AL487" i="5"/>
  <c r="AL225" i="5"/>
  <c r="AL185" i="5"/>
  <c r="AL222" i="5"/>
  <c r="AL33" i="5"/>
  <c r="AL264" i="5"/>
  <c r="AL255" i="5"/>
  <c r="AL154" i="5"/>
  <c r="AL374" i="5"/>
  <c r="AL319" i="5"/>
  <c r="AL272" i="5"/>
  <c r="AL490" i="5"/>
  <c r="AL285" i="5"/>
  <c r="AL441" i="5"/>
  <c r="AL393" i="5"/>
  <c r="AL386" i="5"/>
  <c r="AL519" i="5"/>
  <c r="AL480" i="5"/>
  <c r="AL464" i="5"/>
  <c r="AL549" i="5"/>
  <c r="B73" i="5"/>
  <c r="AL527" i="5"/>
  <c r="AL440" i="5"/>
  <c r="AL385" i="5"/>
  <c r="AL403" i="5"/>
  <c r="AL459" i="5"/>
  <c r="AL497" i="5"/>
  <c r="AL387" i="5"/>
  <c r="AL515" i="5"/>
  <c r="AL474" i="5"/>
  <c r="AL511" i="5"/>
  <c r="AL347" i="5"/>
  <c r="AL149" i="5"/>
  <c r="AL257" i="5"/>
  <c r="AL85" i="5"/>
  <c r="AL125" i="5"/>
  <c r="AL236" i="5"/>
  <c r="AL171" i="5"/>
  <c r="AL99" i="5"/>
  <c r="AL101" i="5"/>
  <c r="AL134" i="5"/>
  <c r="AL128" i="5"/>
  <c r="AL384" i="5"/>
  <c r="AL29" i="5"/>
  <c r="AL235" i="5"/>
  <c r="AL420" i="5"/>
  <c r="AL498" i="5"/>
  <c r="AL43" i="5"/>
  <c r="AL136" i="5"/>
  <c r="AL333" i="5"/>
  <c r="AL60" i="5"/>
  <c r="AL191" i="5"/>
  <c r="AL458" i="5"/>
  <c r="AL102" i="5"/>
  <c r="AL262" i="5"/>
  <c r="AL398" i="5"/>
  <c r="AL535" i="5"/>
  <c r="AL180" i="5"/>
  <c r="AL210" i="5"/>
  <c r="AL548" i="5"/>
  <c r="AL26" i="5"/>
  <c r="AL213" i="5"/>
  <c r="AL406" i="5"/>
  <c r="AL183" i="5"/>
  <c r="AL146" i="5"/>
  <c r="AL267" i="5"/>
  <c r="AL179" i="5"/>
  <c r="AL121" i="5"/>
  <c r="AL416" i="5"/>
  <c r="AL50" i="5"/>
  <c r="AL216" i="5"/>
  <c r="AL248" i="5"/>
  <c r="AL228" i="5"/>
  <c r="AL288" i="5"/>
  <c r="AL265" i="5"/>
  <c r="AL242" i="5"/>
  <c r="AL126" i="5"/>
  <c r="AL352" i="5"/>
  <c r="AL326" i="5"/>
  <c r="AL485" i="5"/>
  <c r="AL429" i="5"/>
  <c r="AL455" i="5"/>
  <c r="AL446" i="5"/>
  <c r="AL470" i="5"/>
  <c r="AL520" i="5"/>
  <c r="AL557" i="5"/>
  <c r="AL19" i="5"/>
  <c r="AL513" i="5"/>
  <c r="AL436" i="5"/>
  <c r="AL378" i="5"/>
  <c r="AL397" i="5"/>
  <c r="AL389" i="5"/>
  <c r="AL493" i="5"/>
  <c r="AL372" i="5"/>
  <c r="AL463" i="5"/>
  <c r="AL435" i="5"/>
  <c r="AL510" i="5"/>
  <c r="AL276" i="5"/>
  <c r="AL145" i="5"/>
  <c r="AL245" i="5"/>
  <c r="AL83" i="5"/>
  <c r="AL117" i="5"/>
  <c r="AL220" i="5"/>
  <c r="AL471" i="5"/>
  <c r="AL86" i="5"/>
  <c r="AL239" i="5"/>
  <c r="AL252" i="5"/>
  <c r="AL63" i="5"/>
  <c r="AL321" i="5"/>
  <c r="AL62" i="5"/>
  <c r="AL66" i="5"/>
  <c r="AL329" i="5"/>
  <c r="AL430" i="5"/>
  <c r="AL25" i="5"/>
  <c r="AL250" i="5"/>
  <c r="AL413" i="5"/>
  <c r="AL47" i="5"/>
  <c r="AL139" i="5"/>
  <c r="AL409" i="5"/>
  <c r="AL51" i="5"/>
  <c r="AL112" i="5"/>
  <c r="AL517" i="5"/>
  <c r="AL59" i="5"/>
  <c r="AL202" i="5"/>
  <c r="AL366" i="5"/>
  <c r="AL555" i="5"/>
  <c r="AL119" i="5"/>
  <c r="AL293" i="5"/>
  <c r="AL539" i="5"/>
  <c r="AL209" i="5"/>
  <c r="AL148" i="5"/>
  <c r="AL115" i="5"/>
  <c r="AL135" i="5"/>
  <c r="AL143" i="5"/>
  <c r="AL40" i="5"/>
  <c r="AL219" i="5"/>
  <c r="AL551" i="5"/>
  <c r="AL260" i="5"/>
  <c r="AL253" i="5"/>
  <c r="AL364" i="5"/>
  <c r="AL359" i="5"/>
  <c r="AL274" i="5"/>
  <c r="AL234" i="5"/>
  <c r="AL369" i="5"/>
  <c r="AL336" i="5"/>
  <c r="AL473" i="5"/>
  <c r="AL424" i="5"/>
  <c r="AL443" i="5"/>
  <c r="AL249" i="5"/>
  <c r="AL495" i="5"/>
  <c r="AL351" i="5"/>
  <c r="AL478" i="5"/>
  <c r="AL543" i="5"/>
  <c r="AL342" i="5"/>
  <c r="AL426" i="5"/>
  <c r="AL522" i="5"/>
  <c r="AL504" i="5"/>
  <c r="AL8" i="5"/>
  <c r="AL271" i="5"/>
  <c r="AL315" i="5"/>
  <c r="AL419" i="5"/>
  <c r="AL439" i="5"/>
  <c r="AL12" i="5"/>
  <c r="AL296" i="5"/>
  <c r="AL401" i="5"/>
  <c r="AL457" i="5"/>
  <c r="AL477" i="5"/>
  <c r="AL344" i="5"/>
  <c r="AL379" i="5"/>
  <c r="AL462" i="5"/>
  <c r="AL501" i="5"/>
  <c r="AL484" i="5"/>
  <c r="AL232" i="5"/>
  <c r="AL308" i="5"/>
  <c r="AL506" i="5"/>
  <c r="AL534" i="5"/>
  <c r="AL500" i="5"/>
  <c r="AL324" i="5"/>
  <c r="AL371" i="5"/>
  <c r="AL355" i="5"/>
  <c r="AL521" i="5"/>
  <c r="AL553" i="5"/>
  <c r="AL130" i="5"/>
  <c r="AL453" i="5"/>
  <c r="AL291" i="5"/>
  <c r="AL465" i="5"/>
  <c r="AL472" i="5"/>
  <c r="AL328" i="5"/>
  <c r="AL488" i="5"/>
  <c r="AL489" i="5"/>
  <c r="AL530" i="5"/>
  <c r="AL7" i="5"/>
  <c r="AL11" i="5"/>
  <c r="AD450" i="5"/>
  <c r="AC450" i="5"/>
  <c r="BE450" i="5"/>
  <c r="AD430" i="5"/>
  <c r="AC430" i="5"/>
  <c r="AD531" i="5"/>
  <c r="AC531" i="5"/>
  <c r="BE531" i="5"/>
  <c r="W165" i="5"/>
  <c r="X165" i="5"/>
  <c r="S9" i="5"/>
  <c r="V9" i="5"/>
  <c r="Y9" i="5"/>
  <c r="AV9" i="5"/>
  <c r="AL9" i="5"/>
  <c r="AI9" i="5"/>
  <c r="AF9" i="5"/>
  <c r="P9" i="5"/>
  <c r="W202" i="5"/>
  <c r="X202" i="5"/>
  <c r="W501" i="5"/>
  <c r="X501" i="5"/>
  <c r="W241" i="5"/>
  <c r="X241" i="5"/>
  <c r="X25" i="5"/>
  <c r="W25" i="5"/>
  <c r="W507" i="5"/>
  <c r="X507" i="5"/>
  <c r="W430" i="5"/>
  <c r="X430" i="5"/>
  <c r="W255" i="5"/>
  <c r="X255" i="5"/>
  <c r="W127" i="5"/>
  <c r="X127" i="5"/>
  <c r="W300" i="5"/>
  <c r="X300" i="5"/>
  <c r="X334" i="5"/>
  <c r="W334" i="5"/>
  <c r="W494" i="5"/>
  <c r="X494" i="5"/>
  <c r="W76" i="5"/>
  <c r="X76" i="5"/>
  <c r="X37" i="5"/>
  <c r="W37" i="5"/>
  <c r="W268" i="5"/>
  <c r="X268" i="5"/>
  <c r="X531" i="5"/>
  <c r="W531" i="5"/>
  <c r="X485" i="5"/>
  <c r="W485" i="5"/>
  <c r="W353" i="5"/>
  <c r="X353" i="5"/>
  <c r="X142" i="5"/>
  <c r="W142" i="5"/>
  <c r="X212" i="5"/>
  <c r="W212" i="5"/>
  <c r="X450" i="5"/>
  <c r="W450" i="5"/>
  <c r="W398" i="5"/>
  <c r="X398" i="5"/>
  <c r="W239" i="5"/>
  <c r="X239" i="5"/>
  <c r="X27" i="5"/>
  <c r="W27" i="5"/>
  <c r="W174" i="5"/>
  <c r="X174" i="5"/>
  <c r="X505" i="5"/>
  <c r="W505" i="5"/>
  <c r="X406" i="5"/>
  <c r="W406" i="5"/>
  <c r="X213" i="5"/>
  <c r="W213" i="5"/>
  <c r="W322" i="5"/>
  <c r="X322" i="5"/>
  <c r="W256" i="5"/>
  <c r="X256" i="5"/>
  <c r="X551" i="5"/>
  <c r="W551" i="5"/>
  <c r="X475" i="5"/>
  <c r="W475" i="5"/>
  <c r="X465" i="5"/>
  <c r="W465" i="5"/>
  <c r="X310" i="5"/>
  <c r="W310" i="5"/>
  <c r="X144" i="5"/>
  <c r="W144" i="5"/>
  <c r="X466" i="5"/>
  <c r="W466" i="5"/>
  <c r="X382" i="5"/>
  <c r="W382" i="5"/>
  <c r="X498" i="5"/>
  <c r="W498" i="5"/>
  <c r="X234" i="5"/>
  <c r="W234" i="5"/>
  <c r="W170" i="5"/>
  <c r="X170" i="5"/>
  <c r="W486" i="5"/>
  <c r="X486" i="5"/>
  <c r="X227" i="5"/>
  <c r="W227" i="5"/>
  <c r="W157" i="5"/>
  <c r="X157" i="5"/>
  <c r="W64" i="5"/>
  <c r="X64" i="5"/>
  <c r="X72" i="5"/>
  <c r="W72" i="5"/>
  <c r="X277" i="5"/>
  <c r="W277" i="5"/>
  <c r="W554" i="5"/>
  <c r="X554" i="5"/>
  <c r="X326" i="5"/>
  <c r="W326" i="5"/>
  <c r="X177" i="5"/>
  <c r="W177" i="5"/>
  <c r="X451" i="5"/>
  <c r="W451" i="5"/>
  <c r="X273" i="5"/>
  <c r="W273" i="5"/>
  <c r="W453" i="5"/>
  <c r="X453" i="5"/>
  <c r="X153" i="5"/>
  <c r="W153" i="5"/>
  <c r="X362" i="5"/>
  <c r="W362" i="5"/>
  <c r="W510" i="5"/>
  <c r="X510" i="5"/>
  <c r="X271" i="5"/>
  <c r="W271" i="5"/>
  <c r="W162" i="5"/>
  <c r="X162" i="5"/>
  <c r="W352" i="5"/>
  <c r="X352" i="5"/>
  <c r="W77" i="5"/>
  <c r="X77" i="5"/>
  <c r="X311" i="5"/>
  <c r="W311" i="5"/>
  <c r="X65" i="5"/>
  <c r="W65" i="5"/>
  <c r="X159" i="5"/>
  <c r="W159" i="5"/>
  <c r="AB482" i="5"/>
  <c r="X482" i="5"/>
  <c r="W482" i="5"/>
  <c r="W81" i="5"/>
  <c r="X81" i="5"/>
  <c r="X20" i="5"/>
  <c r="W20" i="5"/>
  <c r="W137" i="5"/>
  <c r="X137" i="5"/>
  <c r="W493" i="5"/>
  <c r="X493" i="5"/>
  <c r="AD446" i="5"/>
  <c r="AC446" i="5"/>
  <c r="BE446" i="5"/>
  <c r="BE327" i="5"/>
  <c r="AC327" i="5"/>
  <c r="AD327" i="5"/>
  <c r="AD452" i="5"/>
  <c r="AC452" i="5"/>
  <c r="BE452" i="5"/>
  <c r="BE445" i="5"/>
  <c r="AD445" i="5"/>
  <c r="AC445" i="5"/>
  <c r="AC84" i="5"/>
  <c r="AD84" i="5"/>
  <c r="BE84" i="5"/>
  <c r="AD121" i="5"/>
  <c r="AC121" i="5"/>
  <c r="BE121" i="5"/>
  <c r="AD295" i="5"/>
  <c r="AC295" i="5"/>
  <c r="BE295" i="5"/>
  <c r="X129" i="5"/>
  <c r="W129" i="5"/>
  <c r="W196" i="5"/>
  <c r="X196" i="5"/>
  <c r="X96" i="5"/>
  <c r="W96" i="5"/>
  <c r="X524" i="5"/>
  <c r="W524" i="5"/>
  <c r="X42" i="5"/>
  <c r="W42" i="5"/>
  <c r="X553" i="5"/>
  <c r="W553" i="5"/>
  <c r="W381" i="5"/>
  <c r="X381" i="5"/>
  <c r="W302" i="5"/>
  <c r="X302" i="5"/>
  <c r="X304" i="5"/>
  <c r="W304" i="5"/>
  <c r="W439" i="5"/>
  <c r="X439" i="5"/>
  <c r="X435" i="5"/>
  <c r="W435" i="5"/>
  <c r="X437" i="5"/>
  <c r="W437" i="5"/>
  <c r="X368" i="5"/>
  <c r="W368" i="5"/>
  <c r="W205" i="5"/>
  <c r="X205" i="5"/>
  <c r="X58" i="5"/>
  <c r="W58" i="5"/>
  <c r="W375" i="5"/>
  <c r="X375" i="5"/>
  <c r="W445" i="5"/>
  <c r="X445" i="5"/>
  <c r="X558" i="5"/>
  <c r="W558" i="5"/>
  <c r="X301" i="5"/>
  <c r="W301" i="5"/>
  <c r="W26" i="5"/>
  <c r="X26" i="5"/>
  <c r="W121" i="5"/>
  <c r="X121" i="5"/>
  <c r="X560" i="5"/>
  <c r="W560" i="5"/>
  <c r="X333" i="5"/>
  <c r="W333" i="5"/>
  <c r="W295" i="5"/>
  <c r="X295" i="5"/>
  <c r="W140" i="5"/>
  <c r="X140" i="5"/>
  <c r="W418" i="5"/>
  <c r="X418" i="5"/>
  <c r="X541" i="5"/>
  <c r="W541" i="5"/>
  <c r="X488" i="5"/>
  <c r="W488" i="5"/>
  <c r="W336" i="5"/>
  <c r="X336" i="5"/>
  <c r="X228" i="5"/>
  <c r="W228" i="5"/>
  <c r="X319" i="5"/>
  <c r="W319" i="5"/>
  <c r="X420" i="5"/>
  <c r="W420" i="5"/>
  <c r="W452" i="5"/>
  <c r="X452" i="5"/>
  <c r="W383" i="5"/>
  <c r="X383" i="5"/>
  <c r="W344" i="5"/>
  <c r="X344" i="5"/>
  <c r="X93" i="5"/>
  <c r="W93" i="5"/>
  <c r="W515" i="5"/>
  <c r="X515" i="5"/>
  <c r="W516" i="5"/>
  <c r="X516" i="5"/>
  <c r="W440" i="5"/>
  <c r="X440" i="5"/>
  <c r="X258" i="5"/>
  <c r="W258" i="5"/>
  <c r="X120" i="5"/>
  <c r="W120" i="5"/>
  <c r="X456" i="5"/>
  <c r="W456" i="5"/>
  <c r="X374" i="5"/>
  <c r="W374" i="5"/>
  <c r="W244" i="5"/>
  <c r="X244" i="5"/>
  <c r="X59" i="5"/>
  <c r="W59" i="5"/>
  <c r="W236" i="5"/>
  <c r="X236" i="5"/>
  <c r="W446" i="5"/>
  <c r="X446" i="5"/>
  <c r="W226" i="5"/>
  <c r="X226" i="5"/>
  <c r="X146" i="5"/>
  <c r="W146" i="5"/>
  <c r="X69" i="5"/>
  <c r="W69" i="5"/>
  <c r="X199" i="5"/>
  <c r="W199" i="5"/>
  <c r="X293" i="5"/>
  <c r="W293" i="5"/>
  <c r="X167" i="5"/>
  <c r="W167" i="5"/>
  <c r="X327" i="5"/>
  <c r="W327" i="5"/>
  <c r="X549" i="5"/>
  <c r="W549" i="5"/>
  <c r="W176" i="5"/>
  <c r="X176" i="5"/>
  <c r="W106" i="5"/>
  <c r="X106" i="5"/>
  <c r="X373" i="5"/>
  <c r="W373" i="5"/>
  <c r="W245" i="5"/>
  <c r="X245" i="5"/>
  <c r="X369" i="5"/>
  <c r="W369" i="5"/>
  <c r="X84" i="5"/>
  <c r="W84" i="5"/>
  <c r="X87" i="5"/>
  <c r="W87" i="5"/>
  <c r="W306" i="5"/>
  <c r="X306" i="5"/>
  <c r="X200" i="5"/>
  <c r="W200" i="5"/>
  <c r="X269" i="5"/>
  <c r="W269" i="5"/>
  <c r="W371" i="5"/>
  <c r="X371" i="5"/>
  <c r="W385" i="5"/>
  <c r="X385" i="5"/>
  <c r="AD413" i="5"/>
  <c r="AC413" i="5"/>
  <c r="BE413" i="5"/>
  <c r="AD62" i="5"/>
  <c r="AC62" i="5"/>
  <c r="BE62" i="5"/>
  <c r="AC404" i="5"/>
  <c r="AD404" i="5"/>
  <c r="BE404" i="5"/>
  <c r="AC154" i="5"/>
  <c r="AD154" i="5"/>
  <c r="BE154" i="5"/>
  <c r="AC29" i="5"/>
  <c r="AD29" i="5"/>
  <c r="BE29" i="5"/>
  <c r="BE120" i="5"/>
  <c r="AC278" i="5"/>
  <c r="BE278" i="5"/>
  <c r="AD278" i="5"/>
  <c r="X13" i="5"/>
  <c r="W13" i="5"/>
  <c r="X476" i="5"/>
  <c r="W476" i="5"/>
  <c r="X469" i="5"/>
  <c r="W469" i="5"/>
  <c r="X357" i="5"/>
  <c r="W357" i="5"/>
  <c r="W387" i="5"/>
  <c r="X387" i="5"/>
  <c r="X495" i="5"/>
  <c r="W495" i="5"/>
  <c r="W280" i="5"/>
  <c r="X280" i="5"/>
  <c r="X429" i="5"/>
  <c r="W429" i="5"/>
  <c r="W262" i="5"/>
  <c r="X262" i="5"/>
  <c r="X68" i="5"/>
  <c r="W68" i="5"/>
  <c r="W532" i="5"/>
  <c r="X532" i="5"/>
  <c r="W294" i="5"/>
  <c r="X294" i="5"/>
  <c r="X270" i="5"/>
  <c r="W270" i="5"/>
  <c r="W308" i="5"/>
  <c r="X308" i="5"/>
  <c r="W34" i="5"/>
  <c r="X34" i="5"/>
  <c r="W499" i="5"/>
  <c r="X499" i="5"/>
  <c r="X542" i="5"/>
  <c r="W542" i="5"/>
  <c r="X460" i="5"/>
  <c r="W460" i="5"/>
  <c r="W380" i="5"/>
  <c r="X380" i="5"/>
  <c r="X51" i="5"/>
  <c r="W51" i="5"/>
  <c r="W411" i="5"/>
  <c r="X411" i="5"/>
  <c r="W514" i="5"/>
  <c r="X514" i="5"/>
  <c r="W443" i="5"/>
  <c r="X443" i="5"/>
  <c r="W402" i="5"/>
  <c r="X402" i="5"/>
  <c r="W187" i="5"/>
  <c r="X187" i="5"/>
  <c r="X113" i="5"/>
  <c r="W113" i="5"/>
  <c r="W484" i="5"/>
  <c r="X484" i="5"/>
  <c r="W413" i="5"/>
  <c r="X413" i="5"/>
  <c r="W240" i="5"/>
  <c r="X240" i="5"/>
  <c r="W33" i="5"/>
  <c r="X33" i="5"/>
  <c r="W60" i="5"/>
  <c r="X60" i="5"/>
  <c r="X457" i="5"/>
  <c r="W457" i="5"/>
  <c r="X401" i="5"/>
  <c r="W401" i="5"/>
  <c r="W151" i="5"/>
  <c r="X151" i="5"/>
  <c r="X343" i="5"/>
  <c r="W343" i="5"/>
  <c r="X154" i="5"/>
  <c r="W154" i="5"/>
  <c r="W556" i="5"/>
  <c r="X556" i="5"/>
  <c r="X404" i="5"/>
  <c r="W404" i="5"/>
  <c r="W346" i="5"/>
  <c r="X346" i="5"/>
  <c r="X278" i="5"/>
  <c r="W278" i="5"/>
  <c r="W62" i="5"/>
  <c r="X62" i="5"/>
  <c r="X289" i="5"/>
  <c r="W289" i="5"/>
  <c r="X197" i="5"/>
  <c r="W197" i="5"/>
  <c r="X130" i="5"/>
  <c r="W130" i="5"/>
  <c r="W49" i="5"/>
  <c r="X49" i="5"/>
  <c r="X148" i="5"/>
  <c r="W148" i="5"/>
  <c r="W292" i="5"/>
  <c r="X292" i="5"/>
  <c r="W335" i="5"/>
  <c r="X335" i="5"/>
  <c r="X126" i="5"/>
  <c r="W126" i="5"/>
  <c r="X179" i="5"/>
  <c r="W179" i="5"/>
  <c r="W50" i="5"/>
  <c r="X50" i="5"/>
  <c r="W29" i="5"/>
  <c r="X29" i="5"/>
  <c r="X467" i="5"/>
  <c r="W467" i="5"/>
  <c r="X158" i="5"/>
  <c r="W158" i="5"/>
  <c r="X297" i="5"/>
  <c r="W297" i="5"/>
  <c r="W291" i="5"/>
  <c r="X291" i="5"/>
  <c r="W31" i="5"/>
  <c r="X31" i="5"/>
  <c r="X123" i="5"/>
  <c r="W123" i="5"/>
  <c r="X67" i="5"/>
  <c r="W67" i="5"/>
  <c r="W118" i="5"/>
  <c r="X118" i="5"/>
  <c r="W504" i="5"/>
  <c r="X504" i="5"/>
  <c r="W191" i="5"/>
  <c r="X191" i="5"/>
  <c r="X348" i="5"/>
  <c r="W348" i="5"/>
  <c r="X513" i="5"/>
  <c r="W513" i="5"/>
  <c r="W111" i="5"/>
  <c r="X111" i="5"/>
  <c r="X92" i="5"/>
  <c r="W92" i="5"/>
  <c r="W141" i="5"/>
  <c r="X141" i="5"/>
  <c r="W407" i="5"/>
  <c r="X407" i="5"/>
  <c r="AD220" i="5"/>
  <c r="AC220" i="5"/>
  <c r="BE220" i="5"/>
  <c r="AC520" i="5"/>
  <c r="AD520" i="5"/>
  <c r="BE520" i="5"/>
  <c r="AC147" i="5"/>
  <c r="BE147" i="5"/>
  <c r="AD147" i="5"/>
  <c r="AC461" i="5"/>
  <c r="AD461" i="5"/>
  <c r="BE461" i="5"/>
  <c r="BE285" i="5"/>
  <c r="AD285" i="5"/>
  <c r="AC285" i="5"/>
  <c r="X11" i="5"/>
  <c r="W11" i="5"/>
  <c r="X314" i="5"/>
  <c r="W314" i="5"/>
  <c r="W365" i="5"/>
  <c r="X365" i="5"/>
  <c r="X534" i="5"/>
  <c r="W534" i="5"/>
  <c r="X235" i="5"/>
  <c r="W235" i="5"/>
  <c r="W12" i="5"/>
  <c r="X12" i="5"/>
  <c r="X479" i="5"/>
  <c r="W479" i="5"/>
  <c r="X471" i="5"/>
  <c r="W471" i="5"/>
  <c r="X285" i="5"/>
  <c r="W285" i="5"/>
  <c r="X181" i="5"/>
  <c r="W181" i="5"/>
  <c r="W105" i="5"/>
  <c r="X105" i="5"/>
  <c r="W521" i="5"/>
  <c r="X521" i="5"/>
  <c r="W537" i="5"/>
  <c r="X537" i="5"/>
  <c r="X325" i="5"/>
  <c r="W325" i="5"/>
  <c r="X298" i="5"/>
  <c r="W298" i="5"/>
  <c r="X347" i="5"/>
  <c r="W347" i="5"/>
  <c r="W426" i="5"/>
  <c r="X426" i="5"/>
  <c r="X414" i="5"/>
  <c r="W414" i="5"/>
  <c r="X317" i="5"/>
  <c r="W317" i="5"/>
  <c r="X56" i="5"/>
  <c r="W56" i="5"/>
  <c r="W315" i="5"/>
  <c r="X315" i="5"/>
  <c r="W519" i="5"/>
  <c r="X519" i="5"/>
  <c r="W409" i="5"/>
  <c r="X409" i="5"/>
  <c r="X557" i="5"/>
  <c r="W557" i="5"/>
  <c r="X283" i="5"/>
  <c r="W283" i="5"/>
  <c r="W39" i="5"/>
  <c r="X39" i="5"/>
  <c r="X232" i="5"/>
  <c r="W232" i="5"/>
  <c r="X455" i="5"/>
  <c r="W455" i="5"/>
  <c r="X281" i="5"/>
  <c r="W281" i="5"/>
  <c r="W286" i="5"/>
  <c r="X286" i="5"/>
  <c r="W116" i="5"/>
  <c r="X116" i="5"/>
  <c r="X307" i="5"/>
  <c r="W307" i="5"/>
  <c r="X520" i="5"/>
  <c r="W520" i="5"/>
  <c r="W480" i="5"/>
  <c r="X480" i="5"/>
  <c r="X303" i="5"/>
  <c r="W303" i="5"/>
  <c r="W188" i="5"/>
  <c r="X188" i="5"/>
  <c r="X331" i="5"/>
  <c r="W331" i="5"/>
  <c r="W552" i="5"/>
  <c r="X552" i="5"/>
  <c r="W389" i="5"/>
  <c r="X389" i="5"/>
  <c r="W63" i="5"/>
  <c r="X63" i="5"/>
  <c r="X329" i="5"/>
  <c r="W329" i="5"/>
  <c r="W79" i="5"/>
  <c r="X79" i="5"/>
  <c r="X267" i="5"/>
  <c r="W267" i="5"/>
  <c r="X178" i="5"/>
  <c r="W178" i="5"/>
  <c r="W169" i="5"/>
  <c r="X169" i="5"/>
  <c r="W260" i="5"/>
  <c r="X260" i="5"/>
  <c r="W372" i="5"/>
  <c r="X372" i="5"/>
  <c r="W461" i="5"/>
  <c r="X461" i="5"/>
  <c r="W210" i="5"/>
  <c r="X210" i="5"/>
  <c r="W206" i="5"/>
  <c r="X206" i="5"/>
  <c r="X73" i="5"/>
  <c r="W73" i="5"/>
  <c r="W75" i="5"/>
  <c r="X75" i="5"/>
  <c r="W223" i="5"/>
  <c r="X223" i="5"/>
  <c r="X432" i="5"/>
  <c r="W432" i="5"/>
  <c r="W209" i="5"/>
  <c r="X209" i="5"/>
  <c r="W332" i="5"/>
  <c r="X332" i="5"/>
  <c r="X66" i="5"/>
  <c r="W66" i="5"/>
  <c r="W147" i="5"/>
  <c r="X147" i="5"/>
  <c r="X71" i="5"/>
  <c r="W71" i="5"/>
  <c r="X43" i="5"/>
  <c r="W43" i="5"/>
  <c r="X19" i="5"/>
  <c r="W19" i="5"/>
  <c r="X454" i="5"/>
  <c r="W454" i="5"/>
  <c r="X220" i="5"/>
  <c r="W220" i="5"/>
  <c r="W512" i="5"/>
  <c r="X512" i="5"/>
  <c r="W539" i="5"/>
  <c r="X539" i="5"/>
  <c r="W161" i="5"/>
  <c r="X161" i="5"/>
  <c r="X35" i="5"/>
  <c r="W35" i="5"/>
  <c r="X233" i="5"/>
  <c r="W233" i="5"/>
  <c r="X500" i="5"/>
  <c r="W500" i="5"/>
  <c r="AC533" i="5"/>
  <c r="AD533" i="5"/>
  <c r="BE533" i="5"/>
  <c r="AC30" i="5"/>
  <c r="AD30" i="5"/>
  <c r="BE30" i="5"/>
  <c r="AC61" i="5"/>
  <c r="AD61" i="5"/>
  <c r="BE61" i="5"/>
  <c r="AD293" i="5"/>
  <c r="AC293" i="5"/>
  <c r="BE293" i="5"/>
  <c r="BE371" i="5"/>
  <c r="AC478" i="5"/>
  <c r="AD478" i="5"/>
  <c r="BE478" i="5"/>
  <c r="AD547" i="5"/>
  <c r="AC547" i="5"/>
  <c r="BE547" i="5"/>
  <c r="X8" i="5"/>
  <c r="W8" i="5"/>
  <c r="X376" i="5"/>
  <c r="W376" i="5"/>
  <c r="X22" i="5"/>
  <c r="W22" i="5"/>
  <c r="X254" i="5"/>
  <c r="W254" i="5"/>
  <c r="X47" i="5"/>
  <c r="W47" i="5"/>
  <c r="X506" i="5"/>
  <c r="W506" i="5"/>
  <c r="X496" i="5"/>
  <c r="W496" i="5"/>
  <c r="X384" i="5"/>
  <c r="W384" i="5"/>
  <c r="X186" i="5"/>
  <c r="W186" i="5"/>
  <c r="W173" i="5"/>
  <c r="X173" i="5"/>
  <c r="X32" i="5"/>
  <c r="W32" i="5"/>
  <c r="W405" i="5"/>
  <c r="X405" i="5"/>
  <c r="X464" i="5"/>
  <c r="W464" i="5"/>
  <c r="W259" i="5"/>
  <c r="X259" i="5"/>
  <c r="X150" i="5"/>
  <c r="W150" i="5"/>
  <c r="W547" i="5"/>
  <c r="X547" i="5"/>
  <c r="W533" i="5"/>
  <c r="X533" i="5"/>
  <c r="W242" i="5"/>
  <c r="X242" i="5"/>
  <c r="X359" i="5"/>
  <c r="W359" i="5"/>
  <c r="X247" i="5"/>
  <c r="W247" i="5"/>
  <c r="W38" i="5"/>
  <c r="X38" i="5"/>
  <c r="W535" i="5"/>
  <c r="X535" i="5"/>
  <c r="X525" i="5"/>
  <c r="W525" i="5"/>
  <c r="X438" i="5"/>
  <c r="W438" i="5"/>
  <c r="X354" i="5"/>
  <c r="W354" i="5"/>
  <c r="X403" i="5"/>
  <c r="W403" i="5"/>
  <c r="X324" i="5"/>
  <c r="W324" i="5"/>
  <c r="W483" i="5"/>
  <c r="X483" i="5"/>
  <c r="W425" i="5"/>
  <c r="X425" i="5"/>
  <c r="W350" i="5"/>
  <c r="X350" i="5"/>
  <c r="W30" i="5"/>
  <c r="X30" i="5"/>
  <c r="X192" i="5"/>
  <c r="W192" i="5"/>
  <c r="W472" i="5"/>
  <c r="X472" i="5"/>
  <c r="X397" i="5"/>
  <c r="W397" i="5"/>
  <c r="W214" i="5"/>
  <c r="X214" i="5"/>
  <c r="X70" i="5"/>
  <c r="W70" i="5"/>
  <c r="W54" i="5"/>
  <c r="X54" i="5"/>
  <c r="X491" i="5"/>
  <c r="W491" i="5"/>
  <c r="W458" i="5"/>
  <c r="X458" i="5"/>
  <c r="W272" i="5"/>
  <c r="X272" i="5"/>
  <c r="X195" i="5"/>
  <c r="W195" i="5"/>
  <c r="X231" i="5"/>
  <c r="W231" i="5"/>
  <c r="W224" i="5"/>
  <c r="X224" i="5"/>
  <c r="W290" i="5"/>
  <c r="X290" i="5"/>
  <c r="X138" i="5"/>
  <c r="W138" i="5"/>
  <c r="X171" i="5"/>
  <c r="W171" i="5"/>
  <c r="X182" i="5"/>
  <c r="W182" i="5"/>
  <c r="W423" i="5"/>
  <c r="X423" i="5"/>
  <c r="X305" i="5"/>
  <c r="W305" i="5"/>
  <c r="X156" i="5"/>
  <c r="W156" i="5"/>
  <c r="X115" i="5"/>
  <c r="W115" i="5"/>
  <c r="X61" i="5"/>
  <c r="W61" i="5"/>
  <c r="X279" i="5"/>
  <c r="W279" i="5"/>
  <c r="W508" i="5"/>
  <c r="X508" i="5"/>
  <c r="X110" i="5"/>
  <c r="W110" i="5"/>
  <c r="W478" i="5"/>
  <c r="X478" i="5"/>
  <c r="W299" i="5"/>
  <c r="X299" i="5"/>
  <c r="W124" i="5"/>
  <c r="X124" i="5"/>
  <c r="X23" i="5"/>
  <c r="W23" i="5"/>
  <c r="W243" i="5"/>
  <c r="X243" i="5"/>
  <c r="X251" i="5"/>
  <c r="W251" i="5"/>
  <c r="X276" i="5"/>
  <c r="W276" i="5"/>
  <c r="W198" i="5"/>
  <c r="X198" i="5"/>
  <c r="X415" i="5"/>
  <c r="W415" i="5"/>
  <c r="W543" i="5"/>
  <c r="X543" i="5"/>
  <c r="W82" i="5"/>
  <c r="X82" i="5"/>
  <c r="W408" i="5"/>
  <c r="X408" i="5"/>
  <c r="W94" i="5"/>
  <c r="X94" i="5"/>
  <c r="W320" i="5"/>
  <c r="X320" i="5"/>
  <c r="AC74" i="5"/>
  <c r="AC225" i="5"/>
  <c r="AD249" i="5"/>
  <c r="AC249" i="5"/>
  <c r="BE249" i="5"/>
  <c r="AC57" i="5"/>
  <c r="AD57" i="5"/>
  <c r="BE57" i="5"/>
  <c r="AD386" i="5"/>
  <c r="AC386" i="5"/>
  <c r="BE386" i="5"/>
  <c r="AD339" i="5"/>
  <c r="AC339" i="5"/>
  <c r="BE339" i="5"/>
  <c r="AC559" i="5"/>
  <c r="AD559" i="5"/>
  <c r="BE559" i="5"/>
  <c r="AD477" i="5"/>
  <c r="AC477" i="5"/>
  <c r="BE477" i="5"/>
  <c r="AC164" i="5"/>
  <c r="BE164" i="5"/>
  <c r="AD164" i="5"/>
  <c r="AD221" i="5"/>
  <c r="AC221" i="5"/>
  <c r="BE221" i="5"/>
  <c r="X527" i="5"/>
  <c r="W527" i="5"/>
  <c r="X266" i="5"/>
  <c r="W266" i="5"/>
  <c r="W349" i="5"/>
  <c r="X349" i="5"/>
  <c r="X246" i="5"/>
  <c r="W246" i="5"/>
  <c r="X10" i="5"/>
  <c r="W10" i="5"/>
  <c r="X395" i="5"/>
  <c r="W395" i="5"/>
  <c r="W538" i="5"/>
  <c r="X538" i="5"/>
  <c r="X386" i="5"/>
  <c r="W386" i="5"/>
  <c r="W287" i="5"/>
  <c r="X287" i="5"/>
  <c r="X216" i="5"/>
  <c r="W216" i="5"/>
  <c r="W263" i="5"/>
  <c r="X263" i="5"/>
  <c r="X481" i="5"/>
  <c r="W481" i="5"/>
  <c r="W424" i="5"/>
  <c r="X424" i="5"/>
  <c r="W166" i="5"/>
  <c r="X166" i="5"/>
  <c r="W136" i="5"/>
  <c r="X136" i="5"/>
  <c r="W36" i="5"/>
  <c r="X36" i="5"/>
  <c r="X544" i="5"/>
  <c r="W544" i="5"/>
  <c r="X509" i="5"/>
  <c r="W509" i="5"/>
  <c r="X345" i="5"/>
  <c r="W345" i="5"/>
  <c r="X237" i="5"/>
  <c r="W237" i="5"/>
  <c r="X24" i="5"/>
  <c r="W24" i="5"/>
  <c r="X546" i="5"/>
  <c r="W546" i="5"/>
  <c r="X447" i="5"/>
  <c r="W447" i="5"/>
  <c r="W391" i="5"/>
  <c r="X391" i="5"/>
  <c r="X366" i="5"/>
  <c r="W366" i="5"/>
  <c r="X193" i="5"/>
  <c r="W193" i="5"/>
  <c r="W433" i="5"/>
  <c r="X433" i="5"/>
  <c r="W427" i="5"/>
  <c r="X427" i="5"/>
  <c r="X536" i="5"/>
  <c r="W536" i="5"/>
  <c r="AB265" i="5"/>
  <c r="W265" i="5"/>
  <c r="X265" i="5"/>
  <c r="X152" i="5"/>
  <c r="W152" i="5"/>
  <c r="X98" i="5"/>
  <c r="W98" i="5"/>
  <c r="X417" i="5"/>
  <c r="W417" i="5"/>
  <c r="X189" i="5"/>
  <c r="W189" i="5"/>
  <c r="X296" i="5"/>
  <c r="W296" i="5"/>
  <c r="W52" i="5"/>
  <c r="X52" i="5"/>
  <c r="W145" i="5"/>
  <c r="X145" i="5"/>
  <c r="W470" i="5"/>
  <c r="X470" i="5"/>
  <c r="X416" i="5"/>
  <c r="W416" i="5"/>
  <c r="X183" i="5"/>
  <c r="W183" i="5"/>
  <c r="X185" i="5"/>
  <c r="W185" i="5"/>
  <c r="W48" i="5"/>
  <c r="X48" i="5"/>
  <c r="X396" i="5"/>
  <c r="W396" i="5"/>
  <c r="X119" i="5"/>
  <c r="W119" i="5"/>
  <c r="W211" i="5"/>
  <c r="X211" i="5"/>
  <c r="W99" i="5"/>
  <c r="X99" i="5"/>
  <c r="X248" i="5"/>
  <c r="W248" i="5"/>
  <c r="W503" i="5"/>
  <c r="X503" i="5"/>
  <c r="X221" i="5"/>
  <c r="W221" i="5"/>
  <c r="X184" i="5"/>
  <c r="W184" i="5"/>
  <c r="X108" i="5"/>
  <c r="W108" i="5"/>
  <c r="W101" i="5"/>
  <c r="X101" i="5"/>
  <c r="X143" i="5"/>
  <c r="W143" i="5"/>
  <c r="X367" i="5"/>
  <c r="W367" i="5"/>
  <c r="W264" i="5"/>
  <c r="X264" i="5"/>
  <c r="X436" i="5"/>
  <c r="W436" i="5"/>
  <c r="W95" i="5"/>
  <c r="X95" i="5"/>
  <c r="X164" i="5"/>
  <c r="W164" i="5"/>
  <c r="W28" i="5"/>
  <c r="X28" i="5"/>
  <c r="X122" i="5"/>
  <c r="W122" i="5"/>
  <c r="X252" i="5"/>
  <c r="W252" i="5"/>
  <c r="W477" i="5"/>
  <c r="X477" i="5"/>
  <c r="X91" i="5"/>
  <c r="W91" i="5"/>
  <c r="W459" i="5"/>
  <c r="X459" i="5"/>
  <c r="X163" i="5"/>
  <c r="W163" i="5"/>
  <c r="W45" i="5"/>
  <c r="X45" i="5"/>
  <c r="X125" i="5"/>
  <c r="W125" i="5"/>
  <c r="X449" i="5"/>
  <c r="W449" i="5"/>
  <c r="X282" i="5"/>
  <c r="W282" i="5"/>
  <c r="AC133" i="5"/>
  <c r="AD133" i="5"/>
  <c r="BE133" i="5"/>
  <c r="AD207" i="5"/>
  <c r="AC207" i="5"/>
  <c r="BE207" i="5"/>
  <c r="AC107" i="5"/>
  <c r="AD107" i="5"/>
  <c r="BE107" i="5"/>
  <c r="AC284" i="5"/>
  <c r="BE284" i="5"/>
  <c r="AC400" i="5"/>
  <c r="AD400" i="5"/>
  <c r="BE400" i="5"/>
  <c r="X318" i="5"/>
  <c r="W318" i="5"/>
  <c r="X133" i="5"/>
  <c r="W133" i="5"/>
  <c r="W434" i="5"/>
  <c r="X434" i="5"/>
  <c r="X250" i="5"/>
  <c r="W250" i="5"/>
  <c r="X517" i="5"/>
  <c r="W517" i="5"/>
  <c r="W338" i="5"/>
  <c r="X338" i="5"/>
  <c r="X442" i="5"/>
  <c r="W442" i="5"/>
  <c r="W410" i="5"/>
  <c r="X410" i="5"/>
  <c r="W313" i="5"/>
  <c r="X313" i="5"/>
  <c r="X215" i="5"/>
  <c r="W215" i="5"/>
  <c r="X207" i="5"/>
  <c r="W207" i="5"/>
  <c r="X523" i="5"/>
  <c r="W523" i="5"/>
  <c r="X358" i="5"/>
  <c r="W358" i="5"/>
  <c r="X230" i="5"/>
  <c r="W230" i="5"/>
  <c r="W160" i="5"/>
  <c r="X160" i="5"/>
  <c r="W104" i="5"/>
  <c r="X104" i="5"/>
  <c r="W492" i="5"/>
  <c r="X492" i="5"/>
  <c r="W422" i="5"/>
  <c r="X422" i="5"/>
  <c r="X238" i="5"/>
  <c r="W238" i="5"/>
  <c r="W55" i="5"/>
  <c r="X55" i="5"/>
  <c r="X74" i="5"/>
  <c r="W74" i="5"/>
  <c r="X489" i="5"/>
  <c r="W489" i="5"/>
  <c r="W441" i="5"/>
  <c r="X441" i="5"/>
  <c r="W328" i="5"/>
  <c r="X328" i="5"/>
  <c r="X53" i="5"/>
  <c r="W53" i="5"/>
  <c r="W40" i="5"/>
  <c r="X40" i="5"/>
  <c r="X545" i="5"/>
  <c r="W545" i="5"/>
  <c r="X530" i="5"/>
  <c r="W530" i="5"/>
  <c r="W448" i="5"/>
  <c r="X448" i="5"/>
  <c r="X355" i="5"/>
  <c r="W355" i="5"/>
  <c r="W168" i="5"/>
  <c r="X168" i="5"/>
  <c r="X377" i="5"/>
  <c r="W377" i="5"/>
  <c r="W462" i="5"/>
  <c r="X462" i="5"/>
  <c r="W390" i="5"/>
  <c r="X390" i="5"/>
  <c r="W309" i="5"/>
  <c r="X309" i="5"/>
  <c r="W88" i="5"/>
  <c r="X88" i="5"/>
  <c r="X463" i="5"/>
  <c r="W463" i="5"/>
  <c r="X419" i="5"/>
  <c r="W419" i="5"/>
  <c r="X388" i="5"/>
  <c r="W388" i="5"/>
  <c r="W284" i="5"/>
  <c r="X284" i="5"/>
  <c r="W201" i="5"/>
  <c r="X201" i="5"/>
  <c r="W107" i="5"/>
  <c r="X107" i="5"/>
  <c r="X249" i="5"/>
  <c r="W249" i="5"/>
  <c r="X204" i="5"/>
  <c r="W204" i="5"/>
  <c r="W149" i="5"/>
  <c r="X149" i="5"/>
  <c r="W100" i="5"/>
  <c r="X100" i="5"/>
  <c r="X114" i="5"/>
  <c r="W114" i="5"/>
  <c r="X340" i="5"/>
  <c r="W340" i="5"/>
  <c r="W339" i="5"/>
  <c r="X339" i="5"/>
  <c r="W44" i="5"/>
  <c r="X44" i="5"/>
  <c r="W400" i="5"/>
  <c r="X400" i="5"/>
  <c r="X117" i="5"/>
  <c r="W117" i="5"/>
  <c r="W323" i="5"/>
  <c r="X323" i="5"/>
  <c r="X363" i="5"/>
  <c r="W363" i="5"/>
  <c r="X497" i="5"/>
  <c r="W497" i="5"/>
  <c r="W275" i="5"/>
  <c r="X275" i="5"/>
  <c r="X288" i="5"/>
  <c r="W288" i="5"/>
  <c r="X222" i="5"/>
  <c r="W222" i="5"/>
  <c r="X134" i="5"/>
  <c r="W134" i="5"/>
  <c r="X175" i="5"/>
  <c r="W175" i="5"/>
  <c r="X392" i="5"/>
  <c r="W392" i="5"/>
  <c r="X555" i="5"/>
  <c r="W555" i="5"/>
  <c r="X257" i="5"/>
  <c r="W257" i="5"/>
  <c r="X378" i="5"/>
  <c r="W378" i="5"/>
  <c r="X203" i="5"/>
  <c r="W203" i="5"/>
  <c r="X57" i="5"/>
  <c r="W57" i="5"/>
  <c r="X261" i="5"/>
  <c r="W261" i="5"/>
  <c r="W518" i="5"/>
  <c r="X518" i="5"/>
  <c r="W559" i="5"/>
  <c r="X559" i="5"/>
  <c r="AC522" i="5"/>
  <c r="AD522" i="5"/>
  <c r="BE522" i="5"/>
  <c r="AC342" i="5"/>
  <c r="AD342" i="5"/>
  <c r="BE342" i="5"/>
  <c r="AD497" i="5"/>
  <c r="AC497" i="5"/>
  <c r="BE497" i="5"/>
  <c r="AD319" i="5"/>
  <c r="BE319" i="5"/>
  <c r="AD323" i="5"/>
  <c r="AC323" i="5"/>
  <c r="BE323" i="5"/>
  <c r="AD97" i="5"/>
  <c r="AC97" i="5"/>
  <c r="BE97" i="5"/>
  <c r="AC511" i="5"/>
  <c r="BE511" i="5"/>
  <c r="AC502" i="5"/>
  <c r="BE502" i="5"/>
  <c r="X218" i="5"/>
  <c r="W218" i="5"/>
  <c r="W83" i="5"/>
  <c r="X83" i="5"/>
  <c r="W393" i="5"/>
  <c r="X393" i="5"/>
  <c r="X21" i="5"/>
  <c r="W21" i="5"/>
  <c r="W431" i="5"/>
  <c r="X431" i="5"/>
  <c r="X180" i="5"/>
  <c r="W180" i="5"/>
  <c r="W399" i="5"/>
  <c r="X399" i="5"/>
  <c r="X487" i="5"/>
  <c r="W487" i="5"/>
  <c r="W112" i="5"/>
  <c r="X112" i="5"/>
  <c r="X155" i="5"/>
  <c r="W155" i="5"/>
  <c r="X172" i="5"/>
  <c r="W172" i="5"/>
  <c r="W428" i="5"/>
  <c r="X428" i="5"/>
  <c r="W394" i="5"/>
  <c r="X394" i="5"/>
  <c r="X364" i="5"/>
  <c r="W364" i="5"/>
  <c r="W128" i="5"/>
  <c r="X128" i="5"/>
  <c r="W253" i="5"/>
  <c r="X253" i="5"/>
  <c r="W511" i="5"/>
  <c r="X511" i="5"/>
  <c r="X360" i="5"/>
  <c r="W360" i="5"/>
  <c r="W321" i="5"/>
  <c r="X321" i="5"/>
  <c r="X135" i="5"/>
  <c r="W135" i="5"/>
  <c r="X90" i="5"/>
  <c r="W90" i="5"/>
  <c r="X550" i="5"/>
  <c r="W550" i="5"/>
  <c r="X468" i="5"/>
  <c r="W468" i="5"/>
  <c r="X337" i="5"/>
  <c r="W337" i="5"/>
  <c r="X229" i="5"/>
  <c r="W229" i="5"/>
  <c r="W41" i="5"/>
  <c r="X41" i="5"/>
  <c r="W529" i="5"/>
  <c r="X529" i="5"/>
  <c r="W219" i="5"/>
  <c r="X219" i="5"/>
  <c r="X361" i="5"/>
  <c r="W361" i="5"/>
  <c r="X341" i="5"/>
  <c r="W341" i="5"/>
  <c r="X103" i="5"/>
  <c r="W103" i="5"/>
  <c r="X473" i="5"/>
  <c r="W473" i="5"/>
  <c r="X412" i="5"/>
  <c r="W412" i="5"/>
  <c r="X528" i="5"/>
  <c r="W528" i="5"/>
  <c r="X274" i="5"/>
  <c r="W274" i="5"/>
  <c r="W131" i="5"/>
  <c r="X131" i="5"/>
  <c r="X342" i="5"/>
  <c r="W342" i="5"/>
  <c r="W490" i="5"/>
  <c r="X490" i="5"/>
  <c r="X444" i="5"/>
  <c r="W444" i="5"/>
  <c r="W351" i="5"/>
  <c r="X351" i="5"/>
  <c r="W217" i="5"/>
  <c r="X217" i="5"/>
  <c r="W80" i="5"/>
  <c r="X80" i="5"/>
  <c r="X330" i="5"/>
  <c r="W330" i="5"/>
  <c r="X97" i="5"/>
  <c r="W97" i="5"/>
  <c r="W78" i="5"/>
  <c r="X78" i="5"/>
  <c r="X85" i="5"/>
  <c r="W85" i="5"/>
  <c r="W502" i="5"/>
  <c r="X502" i="5"/>
  <c r="X356" i="5"/>
  <c r="W356" i="5"/>
  <c r="W194" i="5"/>
  <c r="X194" i="5"/>
  <c r="W139" i="5"/>
  <c r="X139" i="5"/>
  <c r="W526" i="5"/>
  <c r="X526" i="5"/>
  <c r="W102" i="5"/>
  <c r="X102" i="5"/>
  <c r="W312" i="5"/>
  <c r="X312" i="5"/>
  <c r="W522" i="5"/>
  <c r="X522" i="5"/>
  <c r="W225" i="5"/>
  <c r="X225" i="5"/>
  <c r="X474" i="5"/>
  <c r="W474" i="5"/>
  <c r="W379" i="5"/>
  <c r="X379" i="5"/>
  <c r="W89" i="5"/>
  <c r="X89" i="5"/>
  <c r="X86" i="5"/>
  <c r="W86" i="5"/>
  <c r="X190" i="5"/>
  <c r="W190" i="5"/>
  <c r="X370" i="5"/>
  <c r="W370" i="5"/>
  <c r="W540" i="5"/>
  <c r="X540" i="5"/>
  <c r="W132" i="5"/>
  <c r="X132" i="5"/>
  <c r="X316" i="5"/>
  <c r="W316" i="5"/>
  <c r="X46" i="5"/>
  <c r="W46" i="5"/>
  <c r="X109" i="5"/>
  <c r="W109" i="5"/>
  <c r="X208" i="5"/>
  <c r="W208" i="5"/>
  <c r="W421" i="5"/>
  <c r="X421" i="5"/>
  <c r="X548" i="5"/>
  <c r="W548" i="5"/>
  <c r="I40" i="2"/>
  <c r="AU52" i="6" l="1"/>
  <c r="AW52" i="6" s="1"/>
  <c r="AO43" i="6"/>
  <c r="AU129" i="6"/>
  <c r="AW129" i="6" s="1"/>
  <c r="AU153" i="8"/>
  <c r="AW153" i="8" s="1"/>
  <c r="BB9" i="5"/>
  <c r="AD275" i="5"/>
  <c r="BE83" i="5"/>
  <c r="AC83" i="5"/>
  <c r="AC448" i="5"/>
  <c r="AD63" i="5"/>
  <c r="BE63" i="5"/>
  <c r="AO83" i="6"/>
  <c r="AU83" i="6" s="1"/>
  <c r="AW83" i="6" s="1"/>
  <c r="AU152" i="6"/>
  <c r="AW152" i="6" s="1"/>
  <c r="AU62" i="6"/>
  <c r="AW62" i="6" s="1"/>
  <c r="AD166" i="5"/>
  <c r="AC166" i="5"/>
  <c r="AD38" i="5"/>
  <c r="BE38" i="5"/>
  <c r="BG38" i="5" s="1"/>
  <c r="BL38" i="5" s="1"/>
  <c r="AU99" i="6"/>
  <c r="AW99" i="6" s="1"/>
  <c r="AC369" i="5"/>
  <c r="AD118" i="5"/>
  <c r="BE118" i="5"/>
  <c r="AU121" i="6"/>
  <c r="AW121" i="6" s="1"/>
  <c r="AU157" i="6"/>
  <c r="AW157" i="6" s="1"/>
  <c r="AO73" i="6"/>
  <c r="AU73" i="6" s="1"/>
  <c r="AW73" i="6" s="1"/>
  <c r="AO40" i="6"/>
  <c r="AU40" i="6" s="1"/>
  <c r="AW40" i="6" s="1"/>
  <c r="AU64" i="6"/>
  <c r="AW64" i="6" s="1"/>
  <c r="AU97" i="6"/>
  <c r="AW97" i="6" s="1"/>
  <c r="AU100" i="6"/>
  <c r="AW100" i="6" s="1"/>
  <c r="AO41" i="6"/>
  <c r="AU41" i="6" s="1"/>
  <c r="AW41" i="6" s="1"/>
  <c r="AO56" i="6"/>
  <c r="AU56" i="6" s="1"/>
  <c r="AW56" i="6" s="1"/>
  <c r="AO78" i="6"/>
  <c r="AU78" i="6" s="1"/>
  <c r="AW78" i="6" s="1"/>
  <c r="AU88" i="6"/>
  <c r="AW88" i="6" s="1"/>
  <c r="AU146" i="6"/>
  <c r="AW146" i="6" s="1"/>
  <c r="BE320" i="5"/>
  <c r="BF320" i="5" s="1"/>
  <c r="BK320" i="5" s="1"/>
  <c r="AU102" i="6"/>
  <c r="AW102" i="6" s="1"/>
  <c r="AD197" i="5"/>
  <c r="BE440" i="5"/>
  <c r="BE197" i="5"/>
  <c r="BF197" i="5" s="1"/>
  <c r="BK197" i="5" s="1"/>
  <c r="AD300" i="5"/>
  <c r="BE373" i="5"/>
  <c r="AC320" i="5"/>
  <c r="BE74" i="5"/>
  <c r="BG74" i="5" s="1"/>
  <c r="BL74" i="5" s="1"/>
  <c r="AC527" i="5"/>
  <c r="BE527" i="5"/>
  <c r="BE491" i="5"/>
  <c r="AD440" i="5"/>
  <c r="AC300" i="5"/>
  <c r="AC373" i="5"/>
  <c r="AU114" i="6"/>
  <c r="AW114" i="6" s="1"/>
  <c r="AU110" i="8"/>
  <c r="AW110" i="8" s="1"/>
  <c r="AD491" i="5"/>
  <c r="AU130" i="6"/>
  <c r="AW130" i="6" s="1"/>
  <c r="AU37" i="6"/>
  <c r="AW37" i="6" s="1"/>
  <c r="AU145" i="6"/>
  <c r="AW145" i="6" s="1"/>
  <c r="AU104" i="8"/>
  <c r="AW104" i="8" s="1"/>
  <c r="AC549" i="5"/>
  <c r="AD384" i="5"/>
  <c r="BE384" i="5"/>
  <c r="BG384" i="5" s="1"/>
  <c r="BL384" i="5" s="1"/>
  <c r="AU73" i="8"/>
  <c r="AW73" i="8" s="1"/>
  <c r="AD245" i="5"/>
  <c r="AU115" i="8"/>
  <c r="AW115" i="8" s="1"/>
  <c r="AC518" i="5"/>
  <c r="AO105" i="6"/>
  <c r="AU105" i="6" s="1"/>
  <c r="AW105" i="6" s="1"/>
  <c r="AU28" i="8"/>
  <c r="AW28" i="8" s="1"/>
  <c r="AO119" i="6"/>
  <c r="AU119" i="6" s="1"/>
  <c r="AW119" i="6" s="1"/>
  <c r="AU70" i="6"/>
  <c r="AW70" i="6" s="1"/>
  <c r="AD11" i="5"/>
  <c r="AD19" i="5"/>
  <c r="BE19" i="5"/>
  <c r="BE11" i="5"/>
  <c r="BG11" i="5" s="1"/>
  <c r="BL11" i="5" s="1"/>
  <c r="AO94" i="6"/>
  <c r="AU94" i="6" s="1"/>
  <c r="AW94" i="6" s="1"/>
  <c r="AU87" i="6"/>
  <c r="AW87" i="6" s="1"/>
  <c r="AU46" i="6"/>
  <c r="AW46" i="6" s="1"/>
  <c r="AC93" i="5"/>
  <c r="AU90" i="6"/>
  <c r="AW90" i="6" s="1"/>
  <c r="AU115" i="6"/>
  <c r="AW115" i="6" s="1"/>
  <c r="AO117" i="6"/>
  <c r="AU117" i="6" s="1"/>
  <c r="AW117" i="6" s="1"/>
  <c r="AU150" i="6"/>
  <c r="AW150" i="6" s="1"/>
  <c r="AU85" i="6"/>
  <c r="AW85" i="6" s="1"/>
  <c r="AO50" i="6"/>
  <c r="AU50" i="6" s="1"/>
  <c r="AW50" i="6" s="1"/>
  <c r="BE176" i="5"/>
  <c r="BF176" i="5" s="1"/>
  <c r="BK176" i="5" s="1"/>
  <c r="AC199" i="5"/>
  <c r="AC176" i="5"/>
  <c r="BE245" i="5"/>
  <c r="BF245" i="5" s="1"/>
  <c r="BK245" i="5" s="1"/>
  <c r="AD515" i="5"/>
  <c r="AU54" i="6"/>
  <c r="AW54" i="6" s="1"/>
  <c r="AU38" i="8"/>
  <c r="AW38" i="8" s="1"/>
  <c r="AU139" i="6"/>
  <c r="AW139" i="6" s="1"/>
  <c r="AU57" i="6"/>
  <c r="AW57" i="6" s="1"/>
  <c r="AC204" i="5"/>
  <c r="AD204" i="5"/>
  <c r="BE374" i="5"/>
  <c r="BE244" i="5"/>
  <c r="BF244" i="5" s="1"/>
  <c r="BK244" i="5" s="1"/>
  <c r="BE215" i="5"/>
  <c r="BF215" i="5" s="1"/>
  <c r="BK215" i="5" s="1"/>
  <c r="AC374" i="5"/>
  <c r="AC120" i="5"/>
  <c r="AD369" i="5"/>
  <c r="AC244" i="5"/>
  <c r="BE549" i="5"/>
  <c r="BF549" i="5" s="1"/>
  <c r="BK549" i="5" s="1"/>
  <c r="AD442" i="5"/>
  <c r="BE456" i="5"/>
  <c r="BF456" i="5" s="1"/>
  <c r="BK456" i="5" s="1"/>
  <c r="AD456" i="5"/>
  <c r="BE110" i="5"/>
  <c r="BF110" i="5" s="1"/>
  <c r="BK110" i="5" s="1"/>
  <c r="AD106" i="5"/>
  <c r="AU123" i="6"/>
  <c r="AW123" i="6" s="1"/>
  <c r="AC89" i="5"/>
  <c r="AC544" i="5"/>
  <c r="AC106" i="5"/>
  <c r="AU79" i="6"/>
  <c r="AW79" i="6" s="1"/>
  <c r="AC275" i="5"/>
  <c r="AD109" i="5"/>
  <c r="AU149" i="6"/>
  <c r="AW149" i="6" s="1"/>
  <c r="AD544" i="5"/>
  <c r="BE160" i="5"/>
  <c r="BF160" i="5" s="1"/>
  <c r="BK160" i="5" s="1"/>
  <c r="AC219" i="5"/>
  <c r="AD44" i="5"/>
  <c r="BE388" i="5"/>
  <c r="BF388" i="5" s="1"/>
  <c r="BK388" i="5" s="1"/>
  <c r="AD146" i="5"/>
  <c r="AC160" i="5"/>
  <c r="BE518" i="5"/>
  <c r="BG518" i="5" s="1"/>
  <c r="BL518" i="5" s="1"/>
  <c r="BE44" i="5"/>
  <c r="BF44" i="5" s="1"/>
  <c r="BK44" i="5" s="1"/>
  <c r="AC388" i="5"/>
  <c r="BE358" i="5"/>
  <c r="BG358" i="5" s="1"/>
  <c r="BL358" i="5" s="1"/>
  <c r="AC217" i="5"/>
  <c r="BE468" i="5"/>
  <c r="BG468" i="5" s="1"/>
  <c r="BL468" i="5" s="1"/>
  <c r="AC333" i="5"/>
  <c r="BE516" i="5"/>
  <c r="BG516" i="5" s="1"/>
  <c r="BL516" i="5" s="1"/>
  <c r="AD516" i="5"/>
  <c r="AD217" i="5"/>
  <c r="AD93" i="5"/>
  <c r="BE383" i="5"/>
  <c r="BG383" i="5" s="1"/>
  <c r="BL383" i="5" s="1"/>
  <c r="AC383" i="5"/>
  <c r="BE269" i="5"/>
  <c r="BF269" i="5" s="1"/>
  <c r="BK269" i="5" s="1"/>
  <c r="AC269" i="5"/>
  <c r="BE59" i="5"/>
  <c r="BF59" i="5" s="1"/>
  <c r="BK59" i="5" s="1"/>
  <c r="AC226" i="5"/>
  <c r="AU43" i="6"/>
  <c r="AW43" i="6" s="1"/>
  <c r="AD87" i="5"/>
  <c r="BE146" i="5"/>
  <c r="BF146" i="5" s="1"/>
  <c r="BK146" i="5" s="1"/>
  <c r="AC87" i="5"/>
  <c r="AD236" i="5"/>
  <c r="AC167" i="5"/>
  <c r="AC55" i="5"/>
  <c r="AD182" i="5"/>
  <c r="BE438" i="5"/>
  <c r="BG438" i="5" s="1"/>
  <c r="BL438" i="5" s="1"/>
  <c r="AD88" i="5"/>
  <c r="BE297" i="5"/>
  <c r="BG297" i="5" s="1"/>
  <c r="BL297" i="5" s="1"/>
  <c r="AD40" i="5"/>
  <c r="AC371" i="5"/>
  <c r="BE385" i="5"/>
  <c r="BF385" i="5" s="1"/>
  <c r="BK385" i="5" s="1"/>
  <c r="BE200" i="5"/>
  <c r="BF200" i="5" s="1"/>
  <c r="BK200" i="5" s="1"/>
  <c r="AD385" i="5"/>
  <c r="AC410" i="5"/>
  <c r="AD200" i="5"/>
  <c r="AC90" i="5"/>
  <c r="AC532" i="5"/>
  <c r="AU98" i="6"/>
  <c r="AW98" i="6" s="1"/>
  <c r="AU108" i="6"/>
  <c r="AW108" i="6" s="1"/>
  <c r="AO7" i="6"/>
  <c r="AU7" i="6" s="1"/>
  <c r="AW7" i="6" s="1"/>
  <c r="AC59" i="5"/>
  <c r="BE226" i="5"/>
  <c r="BG226" i="5" s="1"/>
  <c r="BL226" i="5" s="1"/>
  <c r="AD46" i="5"/>
  <c r="AU96" i="6"/>
  <c r="AW96" i="6" s="1"/>
  <c r="AC344" i="5"/>
  <c r="AC69" i="5"/>
  <c r="AD100" i="5"/>
  <c r="AC441" i="5"/>
  <c r="AD344" i="5"/>
  <c r="BE69" i="5"/>
  <c r="BG69" i="5" s="1"/>
  <c r="BL69" i="5" s="1"/>
  <c r="BE100" i="5"/>
  <c r="BF100" i="5" s="1"/>
  <c r="BK100" i="5" s="1"/>
  <c r="BE441" i="5"/>
  <c r="BG441" i="5" s="1"/>
  <c r="BL441" i="5" s="1"/>
  <c r="AU144" i="6"/>
  <c r="AW144" i="6" s="1"/>
  <c r="AC468" i="5"/>
  <c r="AD335" i="5"/>
  <c r="BE333" i="5"/>
  <c r="BF333" i="5" s="1"/>
  <c r="BK333" i="5" s="1"/>
  <c r="AC111" i="5"/>
  <c r="AU151" i="6"/>
  <c r="AW151" i="6" s="1"/>
  <c r="AD306" i="5"/>
  <c r="AD199" i="5"/>
  <c r="AC363" i="5"/>
  <c r="AD378" i="5"/>
  <c r="AD363" i="5"/>
  <c r="BE378" i="5"/>
  <c r="BF378" i="5" s="1"/>
  <c r="BK378" i="5" s="1"/>
  <c r="BE515" i="5"/>
  <c r="BG515" i="5" s="1"/>
  <c r="BL515" i="5" s="1"/>
  <c r="BE540" i="5"/>
  <c r="BF540" i="5" s="1"/>
  <c r="BK540" i="5" s="1"/>
  <c r="AD444" i="5"/>
  <c r="AD540" i="5"/>
  <c r="BE225" i="5"/>
  <c r="BF225" i="5" s="1"/>
  <c r="BK225" i="5" s="1"/>
  <c r="BE85" i="5"/>
  <c r="BF85" i="5" s="1"/>
  <c r="BK85" i="5" s="1"/>
  <c r="AC336" i="5"/>
  <c r="AC85" i="5"/>
  <c r="AD448" i="5"/>
  <c r="BE135" i="5"/>
  <c r="BG135" i="5" s="1"/>
  <c r="BL135" i="5" s="1"/>
  <c r="AD167" i="5"/>
  <c r="AC236" i="5"/>
  <c r="AC555" i="5"/>
  <c r="AC258" i="5"/>
  <c r="AC306" i="5"/>
  <c r="BE555" i="5"/>
  <c r="BF555" i="5" s="1"/>
  <c r="BK555" i="5" s="1"/>
  <c r="AD458" i="5"/>
  <c r="AD258" i="5"/>
  <c r="AD490" i="5"/>
  <c r="AD90" i="5"/>
  <c r="BE316" i="5"/>
  <c r="BG316" i="5" s="1"/>
  <c r="BL316" i="5" s="1"/>
  <c r="AC412" i="5"/>
  <c r="AC316" i="5"/>
  <c r="AC191" i="5"/>
  <c r="AC135" i="5"/>
  <c r="AC474" i="5"/>
  <c r="BE309" i="5"/>
  <c r="BF309" i="5" s="1"/>
  <c r="BK309" i="5" s="1"/>
  <c r="AC545" i="5"/>
  <c r="AD474" i="5"/>
  <c r="AC309" i="5"/>
  <c r="AD545" i="5"/>
  <c r="AC356" i="5"/>
  <c r="BE318" i="5"/>
  <c r="BG318" i="5" s="1"/>
  <c r="BL318" i="5" s="1"/>
  <c r="AC318" i="5"/>
  <c r="BE261" i="5"/>
  <c r="BF261" i="5" s="1"/>
  <c r="BK261" i="5" s="1"/>
  <c r="AD261" i="5"/>
  <c r="AC252" i="5"/>
  <c r="AC139" i="5"/>
  <c r="AC402" i="5"/>
  <c r="AD82" i="5"/>
  <c r="AD419" i="5"/>
  <c r="AC526" i="5"/>
  <c r="AC70" i="5"/>
  <c r="AC86" i="5"/>
  <c r="AC132" i="5"/>
  <c r="AD41" i="5"/>
  <c r="BE42" i="5"/>
  <c r="BG42" i="5" s="1"/>
  <c r="BL42" i="5" s="1"/>
  <c r="AC138" i="5"/>
  <c r="BE114" i="5"/>
  <c r="BG114" i="5" s="1"/>
  <c r="BL114" i="5" s="1"/>
  <c r="BE526" i="5"/>
  <c r="BF526" i="5" s="1"/>
  <c r="BK526" i="5" s="1"/>
  <c r="BE139" i="5"/>
  <c r="BF139" i="5" s="1"/>
  <c r="BK139" i="5" s="1"/>
  <c r="AD307" i="5"/>
  <c r="AD489" i="5"/>
  <c r="BE419" i="5"/>
  <c r="BF419" i="5" s="1"/>
  <c r="BK419" i="5" s="1"/>
  <c r="BE203" i="5"/>
  <c r="BF203" i="5" s="1"/>
  <c r="BK203" i="5" s="1"/>
  <c r="BE359" i="5"/>
  <c r="BF359" i="5" s="1"/>
  <c r="BK359" i="5" s="1"/>
  <c r="BE129" i="5"/>
  <c r="BF129" i="5" s="1"/>
  <c r="BK129" i="5" s="1"/>
  <c r="AD443" i="5"/>
  <c r="AC434" i="5"/>
  <c r="AC124" i="5"/>
  <c r="AC203" i="5"/>
  <c r="AC421" i="5"/>
  <c r="BE134" i="5"/>
  <c r="BF134" i="5" s="1"/>
  <c r="BK134" i="5" s="1"/>
  <c r="AC161" i="5"/>
  <c r="AC312" i="5"/>
  <c r="AD421" i="5"/>
  <c r="BE208" i="5"/>
  <c r="BF208" i="5" s="1"/>
  <c r="BK208" i="5" s="1"/>
  <c r="AD134" i="5"/>
  <c r="AD312" i="5"/>
  <c r="AD208" i="5"/>
  <c r="AD488" i="5"/>
  <c r="AC31" i="5"/>
  <c r="BE489" i="5"/>
  <c r="BG489" i="5" s="1"/>
  <c r="BL489" i="5" s="1"/>
  <c r="BE86" i="5"/>
  <c r="BG86" i="5" s="1"/>
  <c r="BL86" i="5" s="1"/>
  <c r="BE330" i="5"/>
  <c r="BF330" i="5" s="1"/>
  <c r="BK330" i="5" s="1"/>
  <c r="AC529" i="5"/>
  <c r="BE102" i="5"/>
  <c r="BF102" i="5" s="1"/>
  <c r="BK102" i="5" s="1"/>
  <c r="AC330" i="5"/>
  <c r="AD190" i="5"/>
  <c r="BE222" i="5"/>
  <c r="BF222" i="5" s="1"/>
  <c r="BK222" i="5" s="1"/>
  <c r="AD102" i="5"/>
  <c r="AD530" i="5"/>
  <c r="AC187" i="5"/>
  <c r="AC552" i="5"/>
  <c r="AC222" i="5"/>
  <c r="BE394" i="5"/>
  <c r="BF394" i="5" s="1"/>
  <c r="BK394" i="5" s="1"/>
  <c r="BE380" i="5"/>
  <c r="BG380" i="5" s="1"/>
  <c r="BL380" i="5" s="1"/>
  <c r="BE41" i="5"/>
  <c r="BF41" i="5" s="1"/>
  <c r="BK41" i="5" s="1"/>
  <c r="AD114" i="5"/>
  <c r="AD380" i="5"/>
  <c r="AC78" i="5"/>
  <c r="AC370" i="5"/>
  <c r="AC288" i="5"/>
  <c r="AC194" i="5"/>
  <c r="AD78" i="5"/>
  <c r="BE194" i="5"/>
  <c r="BG194" i="5" s="1"/>
  <c r="BL194" i="5" s="1"/>
  <c r="BE229" i="5"/>
  <c r="BG229" i="5" s="1"/>
  <c r="BL229" i="5" s="1"/>
  <c r="AD370" i="5"/>
  <c r="AC201" i="5"/>
  <c r="AC304" i="5"/>
  <c r="BE343" i="5"/>
  <c r="BF343" i="5" s="1"/>
  <c r="BK343" i="5" s="1"/>
  <c r="AC407" i="5"/>
  <c r="AD201" i="5"/>
  <c r="BE190" i="5"/>
  <c r="BF190" i="5" s="1"/>
  <c r="BK190" i="5" s="1"/>
  <c r="BE132" i="5"/>
  <c r="BG132" i="5" s="1"/>
  <c r="BL132" i="5" s="1"/>
  <c r="BE379" i="5"/>
  <c r="BF379" i="5" s="1"/>
  <c r="BK379" i="5" s="1"/>
  <c r="AC175" i="5"/>
  <c r="BE289" i="5"/>
  <c r="BF289" i="5" s="1"/>
  <c r="BK289" i="5" s="1"/>
  <c r="AD313" i="5"/>
  <c r="BE528" i="5"/>
  <c r="BF528" i="5" s="1"/>
  <c r="BK528" i="5" s="1"/>
  <c r="BE392" i="5"/>
  <c r="BG392" i="5" s="1"/>
  <c r="BL392" i="5" s="1"/>
  <c r="AD392" i="5"/>
  <c r="BE302" i="5"/>
  <c r="BG302" i="5" s="1"/>
  <c r="BL302" i="5" s="1"/>
  <c r="BE96" i="5"/>
  <c r="BG96" i="5" s="1"/>
  <c r="BL96" i="5" s="1"/>
  <c r="AC44" i="6"/>
  <c r="AD44" i="6" s="1"/>
  <c r="AQ44" i="6"/>
  <c r="AP44" i="6"/>
  <c r="AK44" i="6"/>
  <c r="AL44" i="6" s="1"/>
  <c r="AF44" i="6"/>
  <c r="AG44" i="6" s="1"/>
  <c r="AI44" i="6" s="1"/>
  <c r="AN44" i="6"/>
  <c r="AC48" i="6"/>
  <c r="AD48" i="6" s="1"/>
  <c r="AQ48" i="6"/>
  <c r="AP48" i="6"/>
  <c r="AP82" i="6"/>
  <c r="AQ82" i="6"/>
  <c r="AC82" i="6"/>
  <c r="AD82" i="6" s="1"/>
  <c r="AQ47" i="6"/>
  <c r="AC47" i="6"/>
  <c r="AD47" i="6" s="1"/>
  <c r="AP47" i="6"/>
  <c r="AN48" i="6"/>
  <c r="AF48" i="6"/>
  <c r="AG48" i="6" s="1"/>
  <c r="AI48" i="6" s="1"/>
  <c r="AK48" i="6"/>
  <c r="AL48" i="6" s="1"/>
  <c r="AF82" i="6"/>
  <c r="AG82" i="6" s="1"/>
  <c r="AI82" i="6" s="1"/>
  <c r="AK82" i="6"/>
  <c r="AL82" i="6" s="1"/>
  <c r="AN82" i="6"/>
  <c r="AF47" i="6"/>
  <c r="AG47" i="6" s="1"/>
  <c r="AI47" i="6" s="1"/>
  <c r="AN47" i="6"/>
  <c r="AO47" i="6" s="1"/>
  <c r="AP143" i="6"/>
  <c r="AQ143" i="6"/>
  <c r="AC143" i="6"/>
  <c r="AD143" i="6" s="1"/>
  <c r="AK143" i="6"/>
  <c r="AL143" i="6" s="1"/>
  <c r="AN143" i="6"/>
  <c r="AF143" i="6"/>
  <c r="AG143" i="6" s="1"/>
  <c r="AI143" i="6" s="1"/>
  <c r="AK132" i="6"/>
  <c r="AL132" i="6" s="1"/>
  <c r="AF132" i="6"/>
  <c r="AG132" i="6" s="1"/>
  <c r="AI132" i="6" s="1"/>
  <c r="AN132" i="6"/>
  <c r="AK89" i="6"/>
  <c r="AL89" i="6" s="1"/>
  <c r="AN89" i="6"/>
  <c r="AF89" i="6"/>
  <c r="AG89" i="6" s="1"/>
  <c r="AI89" i="6" s="1"/>
  <c r="AP141" i="6"/>
  <c r="AQ141" i="6"/>
  <c r="AC141" i="6"/>
  <c r="AD141" i="6" s="1"/>
  <c r="AQ132" i="6"/>
  <c r="AP132" i="6"/>
  <c r="AC132" i="6"/>
  <c r="AD132" i="6" s="1"/>
  <c r="AQ89" i="6"/>
  <c r="AC89" i="6"/>
  <c r="AD89" i="6" s="1"/>
  <c r="AP89" i="6"/>
  <c r="AF135" i="6"/>
  <c r="AG135" i="6" s="1"/>
  <c r="AI135" i="6" s="1"/>
  <c r="AN135" i="6"/>
  <c r="AK135" i="6"/>
  <c r="AL135" i="6" s="1"/>
  <c r="AN141" i="6"/>
  <c r="AF141" i="6"/>
  <c r="AG141" i="6" s="1"/>
  <c r="AI141" i="6" s="1"/>
  <c r="AK141" i="6"/>
  <c r="AL141" i="6" s="1"/>
  <c r="AP135" i="6"/>
  <c r="AC135" i="6"/>
  <c r="AD135" i="6" s="1"/>
  <c r="AQ135" i="6"/>
  <c r="BE328" i="5"/>
  <c r="BF328" i="5" s="1"/>
  <c r="BK328" i="5" s="1"/>
  <c r="AC512" i="5"/>
  <c r="AC541" i="5"/>
  <c r="AD492" i="5"/>
  <c r="AD403" i="5"/>
  <c r="AC117" i="5"/>
  <c r="BE53" i="5"/>
  <c r="BF53" i="5" s="1"/>
  <c r="BK53" i="5" s="1"/>
  <c r="AD117" i="5"/>
  <c r="BE149" i="5"/>
  <c r="BF149" i="5" s="1"/>
  <c r="BK149" i="5" s="1"/>
  <c r="AD524" i="5"/>
  <c r="AC149" i="5"/>
  <c r="AD340" i="5"/>
  <c r="BE337" i="5"/>
  <c r="BF337" i="5" s="1"/>
  <c r="BK337" i="5" s="1"/>
  <c r="BE21" i="5"/>
  <c r="BG21" i="5" s="1"/>
  <c r="BL21" i="5" s="1"/>
  <c r="AC460" i="5"/>
  <c r="AC488" i="5"/>
  <c r="AD402" i="5"/>
  <c r="AC232" i="5"/>
  <c r="AC490" i="5"/>
  <c r="AD434" i="5"/>
  <c r="AC358" i="5"/>
  <c r="BE82" i="5"/>
  <c r="BG82" i="5" s="1"/>
  <c r="BL82" i="5" s="1"/>
  <c r="AD31" i="5"/>
  <c r="BE70" i="5"/>
  <c r="BF70" i="5" s="1"/>
  <c r="BK70" i="5" s="1"/>
  <c r="BE124" i="5"/>
  <c r="BF124" i="5" s="1"/>
  <c r="BK124" i="5" s="1"/>
  <c r="BE253" i="5"/>
  <c r="BF253" i="5" s="1"/>
  <c r="BK253" i="5" s="1"/>
  <c r="AD379" i="5"/>
  <c r="BE356" i="5"/>
  <c r="BG356" i="5" s="1"/>
  <c r="BL356" i="5" s="1"/>
  <c r="AD253" i="5"/>
  <c r="AC415" i="5"/>
  <c r="BE560" i="5"/>
  <c r="BG560" i="5" s="1"/>
  <c r="BL560" i="5" s="1"/>
  <c r="AD205" i="5"/>
  <c r="AC341" i="5"/>
  <c r="AC42" i="5"/>
  <c r="AD129" i="5"/>
  <c r="AC229" i="5"/>
  <c r="BE341" i="5"/>
  <c r="BF341" i="5" s="1"/>
  <c r="BK341" i="5" s="1"/>
  <c r="AC305" i="5"/>
  <c r="BE471" i="5"/>
  <c r="BF471" i="5" s="1"/>
  <c r="BK471" i="5" s="1"/>
  <c r="BE113" i="5"/>
  <c r="BG113" i="5" s="1"/>
  <c r="BL113" i="5" s="1"/>
  <c r="BE168" i="5"/>
  <c r="BG168" i="5" s="1"/>
  <c r="BL168" i="5" s="1"/>
  <c r="BE80" i="5"/>
  <c r="BG80" i="5" s="1"/>
  <c r="BL80" i="5" s="1"/>
  <c r="AC443" i="5"/>
  <c r="BE240" i="5"/>
  <c r="BF240" i="5" s="1"/>
  <c r="BK240" i="5" s="1"/>
  <c r="BE368" i="5"/>
  <c r="BG368" i="5" s="1"/>
  <c r="BL368" i="5" s="1"/>
  <c r="AD257" i="5"/>
  <c r="BE437" i="5"/>
  <c r="BG437" i="5" s="1"/>
  <c r="BL437" i="5" s="1"/>
  <c r="AD422" i="5"/>
  <c r="BE243" i="5"/>
  <c r="BF243" i="5" s="1"/>
  <c r="BK243" i="5" s="1"/>
  <c r="AC168" i="5"/>
  <c r="AC80" i="5"/>
  <c r="BE457" i="5"/>
  <c r="BF457" i="5" s="1"/>
  <c r="BK457" i="5" s="1"/>
  <c r="AC262" i="5"/>
  <c r="BE103" i="5"/>
  <c r="BG103" i="5" s="1"/>
  <c r="BL103" i="5" s="1"/>
  <c r="AC368" i="5"/>
  <c r="BE250" i="5"/>
  <c r="BF250" i="5" s="1"/>
  <c r="BK250" i="5" s="1"/>
  <c r="AD54" i="5"/>
  <c r="AD128" i="5"/>
  <c r="AC257" i="5"/>
  <c r="BE462" i="5"/>
  <c r="BG462" i="5" s="1"/>
  <c r="BL462" i="5" s="1"/>
  <c r="AD560" i="5"/>
  <c r="BE205" i="5"/>
  <c r="BF205" i="5" s="1"/>
  <c r="BK205" i="5" s="1"/>
  <c r="BE444" i="5"/>
  <c r="BF444" i="5" s="1"/>
  <c r="BK444" i="5" s="1"/>
  <c r="AC243" i="5"/>
  <c r="AC457" i="5"/>
  <c r="BE288" i="5"/>
  <c r="BF288" i="5" s="1"/>
  <c r="BK288" i="5" s="1"/>
  <c r="BE262" i="5"/>
  <c r="BF262" i="5" s="1"/>
  <c r="BK262" i="5" s="1"/>
  <c r="AC103" i="5"/>
  <c r="AD231" i="5"/>
  <c r="AC462" i="5"/>
  <c r="AD539" i="5"/>
  <c r="BE187" i="5"/>
  <c r="BG187" i="5" s="1"/>
  <c r="BL187" i="5" s="1"/>
  <c r="AC48" i="5"/>
  <c r="BE292" i="5"/>
  <c r="BF292" i="5" s="1"/>
  <c r="BK292" i="5" s="1"/>
  <c r="AD155" i="5"/>
  <c r="AC250" i="5"/>
  <c r="AD393" i="5"/>
  <c r="BE54" i="5"/>
  <c r="BF54" i="5" s="1"/>
  <c r="BK54" i="5" s="1"/>
  <c r="AD175" i="5"/>
  <c r="AC338" i="5"/>
  <c r="AC238" i="5"/>
  <c r="AD460" i="5"/>
  <c r="AC131" i="5"/>
  <c r="AC46" i="5"/>
  <c r="AC21" i="5"/>
  <c r="AC524" i="5"/>
  <c r="AC290" i="5"/>
  <c r="BE548" i="5"/>
  <c r="BF548" i="5" s="1"/>
  <c r="BK548" i="5" s="1"/>
  <c r="BE428" i="5"/>
  <c r="BG428" i="5" s="1"/>
  <c r="BL428" i="5" s="1"/>
  <c r="AC548" i="5"/>
  <c r="AC523" i="5"/>
  <c r="AC428" i="5"/>
  <c r="AC463" i="5"/>
  <c r="BE351" i="5"/>
  <c r="BF351" i="5" s="1"/>
  <c r="BK351" i="5" s="1"/>
  <c r="AC476" i="5"/>
  <c r="BE340" i="5"/>
  <c r="BG340" i="5" s="1"/>
  <c r="BL340" i="5" s="1"/>
  <c r="AD523" i="5"/>
  <c r="AD351" i="5"/>
  <c r="AC387" i="5"/>
  <c r="AD148" i="5"/>
  <c r="BE131" i="5"/>
  <c r="BF131" i="5" s="1"/>
  <c r="BK131" i="5" s="1"/>
  <c r="AD308" i="5"/>
  <c r="BE23" i="5"/>
  <c r="BG23" i="5" s="1"/>
  <c r="BL23" i="5" s="1"/>
  <c r="BE88" i="5"/>
  <c r="BG88" i="5" s="1"/>
  <c r="BL88" i="5" s="1"/>
  <c r="AD110" i="5"/>
  <c r="BE514" i="5"/>
  <c r="BF514" i="5" s="1"/>
  <c r="BK514" i="5" s="1"/>
  <c r="AD55" i="5"/>
  <c r="BE130" i="5"/>
  <c r="BF130" i="5" s="1"/>
  <c r="BK130" i="5" s="1"/>
  <c r="AC40" i="5"/>
  <c r="AC514" i="5"/>
  <c r="BE335" i="5"/>
  <c r="BG335" i="5" s="1"/>
  <c r="BL335" i="5" s="1"/>
  <c r="BE182" i="5"/>
  <c r="BG182" i="5" s="1"/>
  <c r="BL182" i="5" s="1"/>
  <c r="BE532" i="5"/>
  <c r="BF532" i="5" s="1"/>
  <c r="BK532" i="5" s="1"/>
  <c r="BE111" i="5"/>
  <c r="BF111" i="5" s="1"/>
  <c r="BK111" i="5" s="1"/>
  <c r="AD96" i="5"/>
  <c r="AD297" i="5"/>
  <c r="AC94" i="5"/>
  <c r="AC51" i="5"/>
  <c r="BE171" i="5"/>
  <c r="BF171" i="5" s="1"/>
  <c r="BK171" i="5" s="1"/>
  <c r="AD438" i="5"/>
  <c r="BE442" i="5"/>
  <c r="BF442" i="5" s="1"/>
  <c r="BK442" i="5" s="1"/>
  <c r="AD186" i="5"/>
  <c r="BE94" i="5"/>
  <c r="BF94" i="5" s="1"/>
  <c r="BK94" i="5" s="1"/>
  <c r="AD51" i="5"/>
  <c r="AC186" i="5"/>
  <c r="AC43" i="5"/>
  <c r="AC171" i="5"/>
  <c r="AC347" i="5"/>
  <c r="AC302" i="5"/>
  <c r="AC68" i="5"/>
  <c r="AC343" i="5"/>
  <c r="AD89" i="5"/>
  <c r="BE412" i="5"/>
  <c r="BG412" i="5" s="1"/>
  <c r="BL412" i="5" s="1"/>
  <c r="AD219" i="5"/>
  <c r="BE508" i="5"/>
  <c r="BF508" i="5" s="1"/>
  <c r="BK508" i="5" s="1"/>
  <c r="BE172" i="5"/>
  <c r="BF172" i="5" s="1"/>
  <c r="BK172" i="5" s="1"/>
  <c r="BE423" i="5"/>
  <c r="BG423" i="5" s="1"/>
  <c r="BL423" i="5" s="1"/>
  <c r="BE355" i="5"/>
  <c r="BF355" i="5" s="1"/>
  <c r="BK355" i="5" s="1"/>
  <c r="BE390" i="5"/>
  <c r="BF390" i="5" s="1"/>
  <c r="BK390" i="5" s="1"/>
  <c r="AC508" i="5"/>
  <c r="AC172" i="5"/>
  <c r="AD423" i="5"/>
  <c r="AC104" i="5"/>
  <c r="AC355" i="5"/>
  <c r="AC390" i="5"/>
  <c r="AD104" i="5"/>
  <c r="AC401" i="5"/>
  <c r="AD196" i="5"/>
  <c r="AC361" i="5"/>
  <c r="AD304" i="5"/>
  <c r="AD407" i="5"/>
  <c r="BE381" i="5"/>
  <c r="BG381" i="5" s="1"/>
  <c r="BL381" i="5" s="1"/>
  <c r="BE141" i="5"/>
  <c r="BG141" i="5" s="1"/>
  <c r="BL141" i="5" s="1"/>
  <c r="BE196" i="5"/>
  <c r="BG196" i="5" s="1"/>
  <c r="BL196" i="5" s="1"/>
  <c r="AD361" i="5"/>
  <c r="BE294" i="5"/>
  <c r="BG294" i="5" s="1"/>
  <c r="BL294" i="5" s="1"/>
  <c r="AD242" i="5"/>
  <c r="AD401" i="5"/>
  <c r="AD138" i="5"/>
  <c r="BE496" i="5"/>
  <c r="BF496" i="5" s="1"/>
  <c r="BK496" i="5" s="1"/>
  <c r="AC381" i="5"/>
  <c r="BE50" i="5"/>
  <c r="BF50" i="5" s="1"/>
  <c r="BK50" i="5" s="1"/>
  <c r="AD141" i="5"/>
  <c r="BE473" i="5"/>
  <c r="BF473" i="5" s="1"/>
  <c r="BK473" i="5" s="1"/>
  <c r="AC294" i="5"/>
  <c r="AC496" i="5"/>
  <c r="AC50" i="5"/>
  <c r="AD473" i="5"/>
  <c r="BE109" i="5"/>
  <c r="BF109" i="5" s="1"/>
  <c r="BK109" i="5" s="1"/>
  <c r="BE33" i="5"/>
  <c r="BF33" i="5" s="1"/>
  <c r="BK33" i="5" s="1"/>
  <c r="AC272" i="5"/>
  <c r="AD126" i="5"/>
  <c r="BE499" i="5"/>
  <c r="BG499" i="5" s="1"/>
  <c r="BL499" i="5" s="1"/>
  <c r="AC112" i="5"/>
  <c r="AC274" i="5"/>
  <c r="AD198" i="5"/>
  <c r="BE156" i="5"/>
  <c r="BF156" i="5" s="1"/>
  <c r="BK156" i="5" s="1"/>
  <c r="AD418" i="5"/>
  <c r="AC33" i="5"/>
  <c r="AD215" i="5"/>
  <c r="BE377" i="5"/>
  <c r="BG377" i="5" s="1"/>
  <c r="BL377" i="5" s="1"/>
  <c r="AD301" i="5"/>
  <c r="BE123" i="5"/>
  <c r="BG123" i="5" s="1"/>
  <c r="BL123" i="5" s="1"/>
  <c r="AD272" i="5"/>
  <c r="AC418" i="5"/>
  <c r="BE484" i="5"/>
  <c r="BG484" i="5" s="1"/>
  <c r="BL484" i="5" s="1"/>
  <c r="AC126" i="5"/>
  <c r="BE458" i="5"/>
  <c r="BG458" i="5" s="1"/>
  <c r="BL458" i="5" s="1"/>
  <c r="AD499" i="5"/>
  <c r="AD472" i="5"/>
  <c r="AC230" i="5"/>
  <c r="BE224" i="5"/>
  <c r="BG224" i="5" s="1"/>
  <c r="BL224" i="5" s="1"/>
  <c r="AC123" i="5"/>
  <c r="AC484" i="5"/>
  <c r="AC58" i="5"/>
  <c r="AC224" i="5"/>
  <c r="AD377" i="5"/>
  <c r="BE301" i="5"/>
  <c r="BF301" i="5" s="1"/>
  <c r="BK301" i="5" s="1"/>
  <c r="AD230" i="5"/>
  <c r="BE472" i="5"/>
  <c r="BF472" i="5" s="1"/>
  <c r="BK472" i="5" s="1"/>
  <c r="AD247" i="5"/>
  <c r="BE58" i="5"/>
  <c r="BF58" i="5" s="1"/>
  <c r="BK58" i="5" s="1"/>
  <c r="BE270" i="5"/>
  <c r="BF270" i="5" s="1"/>
  <c r="BK270" i="5" s="1"/>
  <c r="BE247" i="5"/>
  <c r="BF247" i="5" s="1"/>
  <c r="BK247" i="5" s="1"/>
  <c r="BE550" i="5"/>
  <c r="BG550" i="5" s="1"/>
  <c r="BL550" i="5" s="1"/>
  <c r="AC270" i="5"/>
  <c r="AC92" i="5"/>
  <c r="BE92" i="5"/>
  <c r="BG92" i="5" s="1"/>
  <c r="BL92" i="5" s="1"/>
  <c r="BE112" i="5"/>
  <c r="BF112" i="5" s="1"/>
  <c r="BK112" i="5" s="1"/>
  <c r="AC550" i="5"/>
  <c r="BE274" i="5"/>
  <c r="BF274" i="5" s="1"/>
  <c r="BK274" i="5" s="1"/>
  <c r="BE198" i="5"/>
  <c r="BG198" i="5" s="1"/>
  <c r="BL198" i="5" s="1"/>
  <c r="AD156" i="5"/>
  <c r="AD426" i="5"/>
  <c r="AC346" i="5"/>
  <c r="AC179" i="5"/>
  <c r="AC315" i="5"/>
  <c r="AD354" i="5"/>
  <c r="AD553" i="5"/>
  <c r="AD191" i="5"/>
  <c r="BE410" i="5"/>
  <c r="BG410" i="5" s="1"/>
  <c r="BL410" i="5" s="1"/>
  <c r="AD336" i="5"/>
  <c r="BE529" i="5"/>
  <c r="BF529" i="5" s="1"/>
  <c r="BK529" i="5" s="1"/>
  <c r="BE408" i="5"/>
  <c r="BF408" i="5" s="1"/>
  <c r="BK408" i="5" s="1"/>
  <c r="AD252" i="5"/>
  <c r="BE426" i="5"/>
  <c r="BF426" i="5" s="1"/>
  <c r="BK426" i="5" s="1"/>
  <c r="AC528" i="5"/>
  <c r="BE346" i="5"/>
  <c r="BF346" i="5" s="1"/>
  <c r="BK346" i="5" s="1"/>
  <c r="AD425" i="5"/>
  <c r="AC394" i="5"/>
  <c r="BE179" i="5"/>
  <c r="BG179" i="5" s="1"/>
  <c r="BL179" i="5" s="1"/>
  <c r="AD347" i="5"/>
  <c r="AD328" i="5"/>
  <c r="AC504" i="5"/>
  <c r="AD411" i="5"/>
  <c r="BE425" i="5"/>
  <c r="BF425" i="5" s="1"/>
  <c r="BK425" i="5" s="1"/>
  <c r="AC408" i="5"/>
  <c r="BE495" i="5"/>
  <c r="BG495" i="5" s="1"/>
  <c r="BL495" i="5" s="1"/>
  <c r="BE504" i="5"/>
  <c r="BG504" i="5" s="1"/>
  <c r="BL504" i="5" s="1"/>
  <c r="AC360" i="5"/>
  <c r="AC350" i="5"/>
  <c r="BE350" i="5"/>
  <c r="BG350" i="5" s="1"/>
  <c r="BL350" i="5" s="1"/>
  <c r="AD495" i="5"/>
  <c r="AD360" i="5"/>
  <c r="AC553" i="5"/>
  <c r="BE354" i="5"/>
  <c r="BF354" i="5" s="1"/>
  <c r="BK354" i="5" s="1"/>
  <c r="AD338" i="5"/>
  <c r="AC231" i="5"/>
  <c r="AC158" i="5"/>
  <c r="BE403" i="5"/>
  <c r="BG403" i="5" s="1"/>
  <c r="BL403" i="5" s="1"/>
  <c r="AD305" i="5"/>
  <c r="BE128" i="5"/>
  <c r="BG128" i="5" s="1"/>
  <c r="BL128" i="5" s="1"/>
  <c r="AD238" i="5"/>
  <c r="BE431" i="5"/>
  <c r="BF431" i="5" s="1"/>
  <c r="BK431" i="5" s="1"/>
  <c r="BE276" i="5"/>
  <c r="BG276" i="5" s="1"/>
  <c r="BL276" i="5" s="1"/>
  <c r="BE299" i="5"/>
  <c r="BG299" i="5" s="1"/>
  <c r="BL299" i="5" s="1"/>
  <c r="AD513" i="5"/>
  <c r="AD431" i="5"/>
  <c r="AD517" i="5"/>
  <c r="AD276" i="5"/>
  <c r="BE435" i="5"/>
  <c r="BF435" i="5" s="1"/>
  <c r="BK435" i="5" s="1"/>
  <c r="BE556" i="5"/>
  <c r="BF556" i="5" s="1"/>
  <c r="BK556" i="5" s="1"/>
  <c r="AD22" i="5"/>
  <c r="AC299" i="5"/>
  <c r="AC60" i="5"/>
  <c r="BE513" i="5"/>
  <c r="BF513" i="5" s="1"/>
  <c r="BK513" i="5" s="1"/>
  <c r="BE228" i="5"/>
  <c r="BG228" i="5" s="1"/>
  <c r="BL228" i="5" s="1"/>
  <c r="AD49" i="5"/>
  <c r="BE558" i="5"/>
  <c r="BF558" i="5" s="1"/>
  <c r="BK558" i="5" s="1"/>
  <c r="BE517" i="5"/>
  <c r="BG517" i="5" s="1"/>
  <c r="BL517" i="5" s="1"/>
  <c r="AC435" i="5"/>
  <c r="AC556" i="5"/>
  <c r="BE22" i="5"/>
  <c r="BF22" i="5" s="1"/>
  <c r="BK22" i="5" s="1"/>
  <c r="AD279" i="5"/>
  <c r="BE324" i="5"/>
  <c r="BG324" i="5" s="1"/>
  <c r="BL324" i="5" s="1"/>
  <c r="AC492" i="5"/>
  <c r="AC228" i="5"/>
  <c r="BE49" i="5"/>
  <c r="BG49" i="5" s="1"/>
  <c r="BL49" i="5" s="1"/>
  <c r="AC558" i="5"/>
  <c r="BE279" i="5"/>
  <c r="BG279" i="5" s="1"/>
  <c r="BL279" i="5" s="1"/>
  <c r="AC324" i="5"/>
  <c r="AC23" i="5"/>
  <c r="BE463" i="5"/>
  <c r="BF463" i="5" s="1"/>
  <c r="BK463" i="5" s="1"/>
  <c r="BE180" i="5"/>
  <c r="BF180" i="5" s="1"/>
  <c r="BK180" i="5" s="1"/>
  <c r="AD525" i="5"/>
  <c r="AD53" i="5"/>
  <c r="AC397" i="5"/>
  <c r="AD476" i="5"/>
  <c r="BE214" i="5"/>
  <c r="BF214" i="5" s="1"/>
  <c r="BK214" i="5" s="1"/>
  <c r="AD180" i="5"/>
  <c r="BE525" i="5"/>
  <c r="BG525" i="5" s="1"/>
  <c r="BL525" i="5" s="1"/>
  <c r="BE397" i="5"/>
  <c r="BF397" i="5" s="1"/>
  <c r="BK397" i="5" s="1"/>
  <c r="AD420" i="5"/>
  <c r="AC214" i="5"/>
  <c r="BE173" i="5"/>
  <c r="BG173" i="5" s="1"/>
  <c r="BL173" i="5" s="1"/>
  <c r="AC420" i="5"/>
  <c r="BE290" i="5"/>
  <c r="BG290" i="5" s="1"/>
  <c r="BL290" i="5" s="1"/>
  <c r="AC337" i="5"/>
  <c r="AD348" i="5"/>
  <c r="BE140" i="5"/>
  <c r="BG140" i="5" s="1"/>
  <c r="BL140" i="5" s="1"/>
  <c r="BE543" i="5"/>
  <c r="BG543" i="5" s="1"/>
  <c r="BL543" i="5" s="1"/>
  <c r="AD173" i="5"/>
  <c r="BE308" i="5"/>
  <c r="BF308" i="5" s="1"/>
  <c r="BK308" i="5" s="1"/>
  <c r="AC348" i="5"/>
  <c r="AD140" i="5"/>
  <c r="AC543" i="5"/>
  <c r="BE387" i="5"/>
  <c r="BG387" i="5" s="1"/>
  <c r="BL387" i="5" s="1"/>
  <c r="AC148" i="5"/>
  <c r="AD541" i="5"/>
  <c r="AD292" i="5"/>
  <c r="AC251" i="5"/>
  <c r="AD467" i="5"/>
  <c r="BE251" i="5"/>
  <c r="BF251" i="5" s="1"/>
  <c r="BK251" i="5" s="1"/>
  <c r="AD113" i="5"/>
  <c r="AC357" i="5"/>
  <c r="AD291" i="5"/>
  <c r="AC150" i="5"/>
  <c r="BE535" i="5"/>
  <c r="BG535" i="5" s="1"/>
  <c r="BL535" i="5" s="1"/>
  <c r="BE415" i="5"/>
  <c r="BG415" i="5" s="1"/>
  <c r="BL415" i="5" s="1"/>
  <c r="BE411" i="5"/>
  <c r="BF411" i="5" s="1"/>
  <c r="BK411" i="5" s="1"/>
  <c r="AD469" i="5"/>
  <c r="AC405" i="5"/>
  <c r="BE422" i="5"/>
  <c r="BF422" i="5" s="1"/>
  <c r="BK422" i="5" s="1"/>
  <c r="AC291" i="5"/>
  <c r="BE393" i="5"/>
  <c r="BF393" i="5" s="1"/>
  <c r="BK393" i="5" s="1"/>
  <c r="BE530" i="5"/>
  <c r="BG530" i="5" s="1"/>
  <c r="BL530" i="5" s="1"/>
  <c r="BE242" i="5"/>
  <c r="BG242" i="5" s="1"/>
  <c r="BL242" i="5" s="1"/>
  <c r="AD512" i="5"/>
  <c r="AC313" i="5"/>
  <c r="BE467" i="5"/>
  <c r="BG467" i="5" s="1"/>
  <c r="BL467" i="5" s="1"/>
  <c r="AC67" i="5"/>
  <c r="BE405" i="5"/>
  <c r="BF405" i="5" s="1"/>
  <c r="BK405" i="5" s="1"/>
  <c r="BE155" i="5"/>
  <c r="BF155" i="5" s="1"/>
  <c r="BK155" i="5" s="1"/>
  <c r="AC240" i="5"/>
  <c r="BE195" i="5"/>
  <c r="BF195" i="5" s="1"/>
  <c r="BK195" i="5" s="1"/>
  <c r="AD67" i="5"/>
  <c r="BE357" i="5"/>
  <c r="BG357" i="5" s="1"/>
  <c r="BL357" i="5" s="1"/>
  <c r="AD150" i="5"/>
  <c r="AD195" i="5"/>
  <c r="AD535" i="5"/>
  <c r="BE469" i="5"/>
  <c r="BF469" i="5" s="1"/>
  <c r="BK469" i="5" s="1"/>
  <c r="AC375" i="5"/>
  <c r="AD151" i="5"/>
  <c r="BE66" i="5"/>
  <c r="BG66" i="5" s="1"/>
  <c r="BL66" i="5" s="1"/>
  <c r="BE267" i="5"/>
  <c r="BF267" i="5" s="1"/>
  <c r="BK267" i="5" s="1"/>
  <c r="AC271" i="5"/>
  <c r="AD375" i="5"/>
  <c r="AC174" i="5"/>
  <c r="AD439" i="5"/>
  <c r="BE480" i="5"/>
  <c r="BF480" i="5" s="1"/>
  <c r="BK480" i="5" s="1"/>
  <c r="AD60" i="5"/>
  <c r="AD436" i="5"/>
  <c r="BE439" i="5"/>
  <c r="BG439" i="5" s="1"/>
  <c r="BL439" i="5" s="1"/>
  <c r="AD480" i="5"/>
  <c r="BE151" i="5"/>
  <c r="BG151" i="5" s="1"/>
  <c r="BL151" i="5" s="1"/>
  <c r="AC223" i="5"/>
  <c r="BE315" i="5"/>
  <c r="BG315" i="5" s="1"/>
  <c r="BL315" i="5" s="1"/>
  <c r="AC130" i="5"/>
  <c r="BE223" i="5"/>
  <c r="BF223" i="5" s="1"/>
  <c r="BK223" i="5" s="1"/>
  <c r="BE43" i="5"/>
  <c r="BG43" i="5" s="1"/>
  <c r="BL43" i="5" s="1"/>
  <c r="BE115" i="5"/>
  <c r="BF115" i="5" s="1"/>
  <c r="BK115" i="5" s="1"/>
  <c r="BE26" i="5"/>
  <c r="BF26" i="5" s="1"/>
  <c r="BK26" i="5" s="1"/>
  <c r="AC494" i="5"/>
  <c r="BE237" i="5"/>
  <c r="BF237" i="5" s="1"/>
  <c r="BK237" i="5" s="1"/>
  <c r="AC115" i="5"/>
  <c r="AC137" i="5"/>
  <c r="AC26" i="5"/>
  <c r="BE68" i="5"/>
  <c r="BG68" i="5" s="1"/>
  <c r="BL68" i="5" s="1"/>
  <c r="AD237" i="5"/>
  <c r="BE95" i="5"/>
  <c r="BG95" i="5" s="1"/>
  <c r="BL95" i="5" s="1"/>
  <c r="BE158" i="5"/>
  <c r="BG158" i="5" s="1"/>
  <c r="BL158" i="5" s="1"/>
  <c r="AC437" i="5"/>
  <c r="BE542" i="5"/>
  <c r="BF542" i="5" s="1"/>
  <c r="BK542" i="5" s="1"/>
  <c r="AC289" i="5"/>
  <c r="AC539" i="5"/>
  <c r="AC542" i="5"/>
  <c r="BE48" i="5"/>
  <c r="BG48" i="5" s="1"/>
  <c r="BL48" i="5" s="1"/>
  <c r="BE271" i="5"/>
  <c r="BF271" i="5" s="1"/>
  <c r="BK271" i="5" s="1"/>
  <c r="BE73" i="5"/>
  <c r="BF73" i="5" s="1"/>
  <c r="BK73" i="5" s="1"/>
  <c r="AC211" i="5"/>
  <c r="AD66" i="5"/>
  <c r="AC267" i="5"/>
  <c r="AC73" i="5"/>
  <c r="AC143" i="5"/>
  <c r="BE409" i="5"/>
  <c r="BG409" i="5" s="1"/>
  <c r="BL409" i="5" s="1"/>
  <c r="AD471" i="5"/>
  <c r="BE366" i="5"/>
  <c r="BF366" i="5" s="1"/>
  <c r="BK366" i="5" s="1"/>
  <c r="AD210" i="5"/>
  <c r="AD483" i="5"/>
  <c r="BE211" i="5"/>
  <c r="BG211" i="5" s="1"/>
  <c r="BL211" i="5" s="1"/>
  <c r="AC409" i="5"/>
  <c r="AC366" i="5"/>
  <c r="BE210" i="5"/>
  <c r="BF210" i="5" s="1"/>
  <c r="BK210" i="5" s="1"/>
  <c r="BE483" i="5"/>
  <c r="BF483" i="5" s="1"/>
  <c r="BK483" i="5" s="1"/>
  <c r="AD429" i="5"/>
  <c r="AC246" i="5"/>
  <c r="BE64" i="5"/>
  <c r="BG64" i="5" s="1"/>
  <c r="BL64" i="5" s="1"/>
  <c r="AC436" i="5"/>
  <c r="BE429" i="5"/>
  <c r="BG429" i="5" s="1"/>
  <c r="BL429" i="5" s="1"/>
  <c r="AD246" i="5"/>
  <c r="AC296" i="5"/>
  <c r="BE399" i="5"/>
  <c r="BF399" i="5" s="1"/>
  <c r="BK399" i="5" s="1"/>
  <c r="AD296" i="5"/>
  <c r="AC399" i="5"/>
  <c r="AD47" i="5"/>
  <c r="BE349" i="5"/>
  <c r="BG349" i="5" s="1"/>
  <c r="BL349" i="5" s="1"/>
  <c r="AD105" i="5"/>
  <c r="BE169" i="5"/>
  <c r="BF169" i="5" s="1"/>
  <c r="BK169" i="5" s="1"/>
  <c r="AC165" i="5"/>
  <c r="BE281" i="5"/>
  <c r="BF281" i="5" s="1"/>
  <c r="BK281" i="5" s="1"/>
  <c r="AC56" i="5"/>
  <c r="AD406" i="5"/>
  <c r="AC183" i="5"/>
  <c r="AC372" i="5"/>
  <c r="AC307" i="5"/>
  <c r="AC432" i="5"/>
  <c r="AC359" i="5"/>
  <c r="AD71" i="5"/>
  <c r="BE455" i="5"/>
  <c r="BF455" i="5" s="1"/>
  <c r="BK455" i="5" s="1"/>
  <c r="AD432" i="5"/>
  <c r="BE71" i="5"/>
  <c r="BG71" i="5" s="1"/>
  <c r="BL71" i="5" s="1"/>
  <c r="AC455" i="5"/>
  <c r="BE235" i="5"/>
  <c r="BF235" i="5" s="1"/>
  <c r="BK235" i="5" s="1"/>
  <c r="AD235" i="5"/>
  <c r="BE116" i="5"/>
  <c r="BG116" i="5" s="1"/>
  <c r="BL116" i="5" s="1"/>
  <c r="AD161" i="5"/>
  <c r="AC116" i="5"/>
  <c r="BE519" i="5"/>
  <c r="BF519" i="5" s="1"/>
  <c r="BK519" i="5" s="1"/>
  <c r="AD34" i="5"/>
  <c r="AC519" i="5"/>
  <c r="AD183" i="5"/>
  <c r="BE406" i="5"/>
  <c r="BF406" i="5" s="1"/>
  <c r="BK406" i="5" s="1"/>
  <c r="AD165" i="5"/>
  <c r="AD298" i="5"/>
  <c r="AD449" i="5"/>
  <c r="AD322" i="5"/>
  <c r="AD281" i="5"/>
  <c r="BE105" i="5"/>
  <c r="BG105" i="5" s="1"/>
  <c r="BL105" i="5" s="1"/>
  <c r="AC298" i="5"/>
  <c r="BE56" i="5"/>
  <c r="BG56" i="5" s="1"/>
  <c r="BL56" i="5" s="1"/>
  <c r="AC322" i="5"/>
  <c r="BE372" i="5"/>
  <c r="BG372" i="5" s="1"/>
  <c r="BL372" i="5" s="1"/>
  <c r="AC349" i="5"/>
  <c r="BE152" i="5"/>
  <c r="BG152" i="5" s="1"/>
  <c r="BL152" i="5" s="1"/>
  <c r="BE470" i="5"/>
  <c r="BF470" i="5" s="1"/>
  <c r="BK470" i="5" s="1"/>
  <c r="AC169" i="5"/>
  <c r="BE209" i="5"/>
  <c r="BF209" i="5" s="1"/>
  <c r="BK209" i="5" s="1"/>
  <c r="AC152" i="5"/>
  <c r="AD451" i="5"/>
  <c r="AC470" i="5"/>
  <c r="AD501" i="5"/>
  <c r="AD209" i="5"/>
  <c r="BE34" i="5"/>
  <c r="BF34" i="5" s="1"/>
  <c r="BK34" i="5" s="1"/>
  <c r="BE451" i="5"/>
  <c r="BG451" i="5" s="1"/>
  <c r="BL451" i="5" s="1"/>
  <c r="BE144" i="5"/>
  <c r="BF144" i="5" s="1"/>
  <c r="BK144" i="5" s="1"/>
  <c r="AC334" i="5"/>
  <c r="AC481" i="5"/>
  <c r="BE501" i="5"/>
  <c r="BF501" i="5" s="1"/>
  <c r="BK501" i="5" s="1"/>
  <c r="BE505" i="5"/>
  <c r="BF505" i="5" s="1"/>
  <c r="BK505" i="5" s="1"/>
  <c r="BE433" i="5"/>
  <c r="BG433" i="5" s="1"/>
  <c r="BL433" i="5" s="1"/>
  <c r="AC367" i="5"/>
  <c r="AC144" i="5"/>
  <c r="BE334" i="5"/>
  <c r="BF334" i="5" s="1"/>
  <c r="BK334" i="5" s="1"/>
  <c r="AC449" i="5"/>
  <c r="AD481" i="5"/>
  <c r="AC505" i="5"/>
  <c r="AC433" i="5"/>
  <c r="BE367" i="5"/>
  <c r="BF367" i="5" s="1"/>
  <c r="BK367" i="5" s="1"/>
  <c r="AC185" i="5"/>
  <c r="AC233" i="5"/>
  <c r="BE79" i="5"/>
  <c r="BF79" i="5" s="1"/>
  <c r="BK79" i="5" s="1"/>
  <c r="BE35" i="5"/>
  <c r="BG35" i="5" s="1"/>
  <c r="BL35" i="5" s="1"/>
  <c r="AD510" i="5"/>
  <c r="BE260" i="5"/>
  <c r="BG260" i="5" s="1"/>
  <c r="BL260" i="5" s="1"/>
  <c r="BE537" i="5"/>
  <c r="BF537" i="5" s="1"/>
  <c r="BK537" i="5" s="1"/>
  <c r="AC35" i="5"/>
  <c r="BE233" i="5"/>
  <c r="BG233" i="5" s="1"/>
  <c r="BL233" i="5" s="1"/>
  <c r="AC537" i="5"/>
  <c r="AC303" i="5"/>
  <c r="BE303" i="5"/>
  <c r="BF303" i="5" s="1"/>
  <c r="BK303" i="5" s="1"/>
  <c r="AD416" i="5"/>
  <c r="AD266" i="5"/>
  <c r="BE163" i="5"/>
  <c r="BF163" i="5" s="1"/>
  <c r="BK163" i="5" s="1"/>
  <c r="AC317" i="5"/>
  <c r="BE364" i="5"/>
  <c r="BF364" i="5" s="1"/>
  <c r="BK364" i="5" s="1"/>
  <c r="AD317" i="5"/>
  <c r="AC19" i="5"/>
  <c r="BE389" i="5"/>
  <c r="BG389" i="5" s="1"/>
  <c r="BL389" i="5" s="1"/>
  <c r="BE122" i="5"/>
  <c r="BG122" i="5" s="1"/>
  <c r="BL122" i="5" s="1"/>
  <c r="AD260" i="5"/>
  <c r="AC36" i="5"/>
  <c r="AC79" i="5"/>
  <c r="AC389" i="5"/>
  <c r="AC447" i="5"/>
  <c r="BE465" i="5"/>
  <c r="BF465" i="5" s="1"/>
  <c r="BK465" i="5" s="1"/>
  <c r="BE239" i="5"/>
  <c r="BF239" i="5" s="1"/>
  <c r="BK239" i="5" s="1"/>
  <c r="AD552" i="5"/>
  <c r="BE47" i="5"/>
  <c r="BG47" i="5" s="1"/>
  <c r="BL47" i="5" s="1"/>
  <c r="AC188" i="5"/>
  <c r="AD8" i="5"/>
  <c r="BE254" i="5"/>
  <c r="BG254" i="5" s="1"/>
  <c r="BL254" i="5" s="1"/>
  <c r="AD332" i="5"/>
  <c r="AD188" i="5"/>
  <c r="AC254" i="5"/>
  <c r="BE332" i="5"/>
  <c r="BG332" i="5" s="1"/>
  <c r="BL332" i="5" s="1"/>
  <c r="BE206" i="5"/>
  <c r="BF206" i="5" s="1"/>
  <c r="BK206" i="5" s="1"/>
  <c r="AC206" i="5"/>
  <c r="BE331" i="5"/>
  <c r="BF331" i="5" s="1"/>
  <c r="BK331" i="5" s="1"/>
  <c r="BE232" i="5"/>
  <c r="BG232" i="5" s="1"/>
  <c r="BL232" i="5" s="1"/>
  <c r="AD331" i="5"/>
  <c r="AC454" i="5"/>
  <c r="BE325" i="5"/>
  <c r="BF325" i="5" s="1"/>
  <c r="BK325" i="5" s="1"/>
  <c r="AC325" i="5"/>
  <c r="AC479" i="5"/>
  <c r="BE108" i="5"/>
  <c r="BG108" i="5" s="1"/>
  <c r="BL108" i="5" s="1"/>
  <c r="AC8" i="5"/>
  <c r="BE37" i="5"/>
  <c r="BF37" i="5" s="1"/>
  <c r="BK37" i="5" s="1"/>
  <c r="AD137" i="5"/>
  <c r="AC95" i="5"/>
  <c r="BE32" i="5"/>
  <c r="BF32" i="5" s="1"/>
  <c r="BK32" i="5" s="1"/>
  <c r="BE395" i="5"/>
  <c r="BF395" i="5" s="1"/>
  <c r="BK395" i="5" s="1"/>
  <c r="AC551" i="5"/>
  <c r="AD212" i="5"/>
  <c r="AC32" i="5"/>
  <c r="AD37" i="5"/>
  <c r="AC178" i="5"/>
  <c r="BE101" i="5"/>
  <c r="BG101" i="5" s="1"/>
  <c r="BL101" i="5" s="1"/>
  <c r="AC395" i="5"/>
  <c r="BE212" i="5"/>
  <c r="BG212" i="5" s="1"/>
  <c r="BL212" i="5" s="1"/>
  <c r="AD282" i="5"/>
  <c r="BE178" i="5"/>
  <c r="BF178" i="5" s="1"/>
  <c r="BK178" i="5" s="1"/>
  <c r="AC101" i="5"/>
  <c r="AD391" i="5"/>
  <c r="AC534" i="5"/>
  <c r="BE282" i="5"/>
  <c r="BF282" i="5" s="1"/>
  <c r="BK282" i="5" s="1"/>
  <c r="AC170" i="5"/>
  <c r="BE216" i="5"/>
  <c r="BF216" i="5" s="1"/>
  <c r="BK216" i="5" s="1"/>
  <c r="BE259" i="5"/>
  <c r="BF259" i="5" s="1"/>
  <c r="BK259" i="5" s="1"/>
  <c r="BE391" i="5"/>
  <c r="BG391" i="5" s="1"/>
  <c r="BL391" i="5" s="1"/>
  <c r="AD534" i="5"/>
  <c r="BE494" i="5"/>
  <c r="BF494" i="5" s="1"/>
  <c r="BK494" i="5" s="1"/>
  <c r="AD170" i="5"/>
  <c r="AD216" i="5"/>
  <c r="BE72" i="5"/>
  <c r="BG72" i="5" s="1"/>
  <c r="BL72" i="5" s="1"/>
  <c r="AC259" i="5"/>
  <c r="BE454" i="5"/>
  <c r="BG454" i="5" s="1"/>
  <c r="BL454" i="5" s="1"/>
  <c r="BE283" i="5"/>
  <c r="BG283" i="5" s="1"/>
  <c r="BL283" i="5" s="1"/>
  <c r="AD286" i="5"/>
  <c r="AD365" i="5"/>
  <c r="AC464" i="5"/>
  <c r="AD283" i="5"/>
  <c r="BE28" i="5"/>
  <c r="BG28" i="5" s="1"/>
  <c r="BL28" i="5" s="1"/>
  <c r="AD464" i="5"/>
  <c r="AD479" i="5"/>
  <c r="BE185" i="5"/>
  <c r="BF185" i="5" s="1"/>
  <c r="BK185" i="5" s="1"/>
  <c r="AC466" i="5"/>
  <c r="BE45" i="5"/>
  <c r="BF45" i="5" s="1"/>
  <c r="BK45" i="5" s="1"/>
  <c r="BE557" i="5"/>
  <c r="BG557" i="5" s="1"/>
  <c r="BL557" i="5" s="1"/>
  <c r="AD108" i="5"/>
  <c r="BE286" i="5"/>
  <c r="BF286" i="5" s="1"/>
  <c r="BK286" i="5" s="1"/>
  <c r="BE365" i="5"/>
  <c r="BF365" i="5" s="1"/>
  <c r="BK365" i="5" s="1"/>
  <c r="AC557" i="5"/>
  <c r="AD10" i="5"/>
  <c r="BE174" i="5"/>
  <c r="BF174" i="5" s="1"/>
  <c r="BK174" i="5" s="1"/>
  <c r="AD64" i="5"/>
  <c r="AD143" i="5"/>
  <c r="AC159" i="5"/>
  <c r="AC72" i="5"/>
  <c r="BE234" i="5"/>
  <c r="BF234" i="5" s="1"/>
  <c r="BK234" i="5" s="1"/>
  <c r="AC396" i="5"/>
  <c r="AD157" i="5"/>
  <c r="AC264" i="5"/>
  <c r="AD396" i="5"/>
  <c r="AC157" i="5"/>
  <c r="BE264" i="5"/>
  <c r="BG264" i="5" s="1"/>
  <c r="BL264" i="5" s="1"/>
  <c r="AC45" i="5"/>
  <c r="BE453" i="5"/>
  <c r="BF453" i="5" s="1"/>
  <c r="BK453" i="5" s="1"/>
  <c r="BE241" i="5"/>
  <c r="BG241" i="5" s="1"/>
  <c r="BL241" i="5" s="1"/>
  <c r="AC28" i="5"/>
  <c r="AD241" i="5"/>
  <c r="AD453" i="5"/>
  <c r="BE125" i="5"/>
  <c r="BG125" i="5" s="1"/>
  <c r="BL125" i="5" s="1"/>
  <c r="BE193" i="5"/>
  <c r="BF193" i="5" s="1"/>
  <c r="BK193" i="5" s="1"/>
  <c r="BE65" i="5"/>
  <c r="BF65" i="5" s="1"/>
  <c r="BK65" i="5" s="1"/>
  <c r="AD466" i="5"/>
  <c r="AC125" i="5"/>
  <c r="BE177" i="5"/>
  <c r="BF177" i="5" s="1"/>
  <c r="BK177" i="5" s="1"/>
  <c r="AC193" i="5"/>
  <c r="AD65" i="5"/>
  <c r="AC177" i="5"/>
  <c r="AD507" i="5"/>
  <c r="AD459" i="5"/>
  <c r="AC189" i="5"/>
  <c r="AC329" i="5"/>
  <c r="AD192" i="5"/>
  <c r="BE521" i="5"/>
  <c r="BF521" i="5" s="1"/>
  <c r="BK521" i="5" s="1"/>
  <c r="AC256" i="5"/>
  <c r="BE39" i="5"/>
  <c r="BG39" i="5" s="1"/>
  <c r="BL39" i="5" s="1"/>
  <c r="AC192" i="5"/>
  <c r="AC521" i="5"/>
  <c r="BE91" i="5"/>
  <c r="BF91" i="5" s="1"/>
  <c r="BK91" i="5" s="1"/>
  <c r="AD256" i="5"/>
  <c r="AC184" i="5"/>
  <c r="AC39" i="5"/>
  <c r="AC362" i="5"/>
  <c r="BE417" i="5"/>
  <c r="BF417" i="5" s="1"/>
  <c r="BK417" i="5" s="1"/>
  <c r="BE75" i="5"/>
  <c r="BF75" i="5" s="1"/>
  <c r="BK75" i="5" s="1"/>
  <c r="BE184" i="5"/>
  <c r="BF184" i="5" s="1"/>
  <c r="BK184" i="5" s="1"/>
  <c r="BE362" i="5"/>
  <c r="BF362" i="5" s="1"/>
  <c r="BK362" i="5" s="1"/>
  <c r="AD417" i="5"/>
  <c r="AD91" i="5"/>
  <c r="AC311" i="5"/>
  <c r="AD75" i="5"/>
  <c r="AC500" i="5"/>
  <c r="BE353" i="5"/>
  <c r="BG353" i="5" s="1"/>
  <c r="BL353" i="5" s="1"/>
  <c r="BE119" i="5"/>
  <c r="BF119" i="5" s="1"/>
  <c r="BK119" i="5" s="1"/>
  <c r="AC181" i="5"/>
  <c r="BE99" i="5"/>
  <c r="BG99" i="5" s="1"/>
  <c r="BL99" i="5" s="1"/>
  <c r="BE213" i="5"/>
  <c r="BG213" i="5" s="1"/>
  <c r="BL213" i="5" s="1"/>
  <c r="AD311" i="5"/>
  <c r="BE218" i="5"/>
  <c r="BF218" i="5" s="1"/>
  <c r="BK218" i="5" s="1"/>
  <c r="AC119" i="5"/>
  <c r="BE181" i="5"/>
  <c r="BG181" i="5" s="1"/>
  <c r="BL181" i="5" s="1"/>
  <c r="AC99" i="5"/>
  <c r="BE414" i="5"/>
  <c r="BF414" i="5" s="1"/>
  <c r="BK414" i="5" s="1"/>
  <c r="AD213" i="5"/>
  <c r="AD500" i="5"/>
  <c r="BE424" i="5"/>
  <c r="BF424" i="5" s="1"/>
  <c r="BK424" i="5" s="1"/>
  <c r="BE459" i="5"/>
  <c r="BG459" i="5" s="1"/>
  <c r="BL459" i="5" s="1"/>
  <c r="AC424" i="5"/>
  <c r="AD189" i="5"/>
  <c r="AD414" i="5"/>
  <c r="BE329" i="5"/>
  <c r="BF329" i="5" s="1"/>
  <c r="BK329" i="5" s="1"/>
  <c r="AC416" i="5"/>
  <c r="BE510" i="5"/>
  <c r="BG510" i="5" s="1"/>
  <c r="BL510" i="5" s="1"/>
  <c r="AD13" i="5"/>
  <c r="AC465" i="5"/>
  <c r="AD364" i="5"/>
  <c r="AD163" i="5"/>
  <c r="AC239" i="5"/>
  <c r="AD122" i="5"/>
  <c r="AD447" i="5"/>
  <c r="AC13" i="5"/>
  <c r="BE36" i="5"/>
  <c r="BG36" i="5" s="1"/>
  <c r="BL36" i="5" s="1"/>
  <c r="BE280" i="5"/>
  <c r="BF280" i="5" s="1"/>
  <c r="BK280" i="5" s="1"/>
  <c r="AD77" i="5"/>
  <c r="AC280" i="5"/>
  <c r="AC554" i="5"/>
  <c r="BE77" i="5"/>
  <c r="BF77" i="5" s="1"/>
  <c r="BK77" i="5" s="1"/>
  <c r="BE554" i="5"/>
  <c r="BG554" i="5" s="1"/>
  <c r="BL554" i="5" s="1"/>
  <c r="BE145" i="5"/>
  <c r="BG145" i="5" s="1"/>
  <c r="BL145" i="5" s="1"/>
  <c r="BE287" i="5"/>
  <c r="BF287" i="5" s="1"/>
  <c r="BK287" i="5" s="1"/>
  <c r="AC145" i="5"/>
  <c r="AC287" i="5"/>
  <c r="BE266" i="5"/>
  <c r="BG266" i="5" s="1"/>
  <c r="BL266" i="5" s="1"/>
  <c r="BE382" i="5"/>
  <c r="BG382" i="5" s="1"/>
  <c r="BL382" i="5" s="1"/>
  <c r="AC382" i="5"/>
  <c r="AC427" i="5"/>
  <c r="BE52" i="5"/>
  <c r="BG52" i="5" s="1"/>
  <c r="BL52" i="5" s="1"/>
  <c r="AD486" i="5"/>
  <c r="BE509" i="5"/>
  <c r="BG509" i="5" s="1"/>
  <c r="BL509" i="5" s="1"/>
  <c r="AC509" i="5"/>
  <c r="AC498" i="5"/>
  <c r="AD427" i="5"/>
  <c r="BE98" i="5"/>
  <c r="BF98" i="5" s="1"/>
  <c r="BK98" i="5" s="1"/>
  <c r="AC486" i="5"/>
  <c r="BE376" i="5"/>
  <c r="BG376" i="5" s="1"/>
  <c r="BL376" i="5" s="1"/>
  <c r="AC52" i="5"/>
  <c r="AD153" i="5"/>
  <c r="BE248" i="5"/>
  <c r="BF248" i="5" s="1"/>
  <c r="BK248" i="5" s="1"/>
  <c r="BE498" i="5"/>
  <c r="BG498" i="5" s="1"/>
  <c r="BL498" i="5" s="1"/>
  <c r="AD98" i="5"/>
  <c r="AC376" i="5"/>
  <c r="BE153" i="5"/>
  <c r="BF153" i="5" s="1"/>
  <c r="BK153" i="5" s="1"/>
  <c r="AD248" i="5"/>
  <c r="BE345" i="5"/>
  <c r="BG345" i="5" s="1"/>
  <c r="BL345" i="5" s="1"/>
  <c r="BE352" i="5"/>
  <c r="BG352" i="5" s="1"/>
  <c r="BL352" i="5" s="1"/>
  <c r="AC345" i="5"/>
  <c r="AC352" i="5"/>
  <c r="AC10" i="5"/>
  <c r="AD202" i="5"/>
  <c r="AC142" i="5"/>
  <c r="AC503" i="5"/>
  <c r="AD538" i="5"/>
  <c r="BE24" i="5"/>
  <c r="BG24" i="5" s="1"/>
  <c r="BL24" i="5" s="1"/>
  <c r="AD142" i="5"/>
  <c r="BE81" i="5"/>
  <c r="BF81" i="5" s="1"/>
  <c r="BK81" i="5" s="1"/>
  <c r="AD503" i="5"/>
  <c r="BE268" i="5"/>
  <c r="BF268" i="5" s="1"/>
  <c r="BK268" i="5" s="1"/>
  <c r="AC136" i="5"/>
  <c r="AC81" i="5"/>
  <c r="AC268" i="5"/>
  <c r="AD24" i="5"/>
  <c r="BE538" i="5"/>
  <c r="BF538" i="5" s="1"/>
  <c r="BK538" i="5" s="1"/>
  <c r="AD20" i="5"/>
  <c r="BE136" i="5"/>
  <c r="BG136" i="5" s="1"/>
  <c r="BL136" i="5" s="1"/>
  <c r="BE398" i="5"/>
  <c r="BG398" i="5" s="1"/>
  <c r="BL398" i="5" s="1"/>
  <c r="BE162" i="5"/>
  <c r="BF162" i="5" s="1"/>
  <c r="BK162" i="5" s="1"/>
  <c r="BE20" i="5"/>
  <c r="BG20" i="5" s="1"/>
  <c r="BL20" i="5" s="1"/>
  <c r="AC398" i="5"/>
  <c r="BE263" i="5"/>
  <c r="BG263" i="5" s="1"/>
  <c r="BL263" i="5" s="1"/>
  <c r="BE536" i="5"/>
  <c r="BF536" i="5" s="1"/>
  <c r="BK536" i="5" s="1"/>
  <c r="AD310" i="5"/>
  <c r="BE546" i="5"/>
  <c r="BG546" i="5" s="1"/>
  <c r="BL546" i="5" s="1"/>
  <c r="AC162" i="5"/>
  <c r="AD227" i="5"/>
  <c r="AC263" i="5"/>
  <c r="AC536" i="5"/>
  <c r="BE310" i="5"/>
  <c r="BG310" i="5" s="1"/>
  <c r="BL310" i="5" s="1"/>
  <c r="AC546" i="5"/>
  <c r="AC227" i="5"/>
  <c r="BE202" i="5"/>
  <c r="BG202" i="5" s="1"/>
  <c r="BL202" i="5" s="1"/>
  <c r="BE507" i="5"/>
  <c r="BG507" i="5" s="1"/>
  <c r="BL507" i="5" s="1"/>
  <c r="BE487" i="5"/>
  <c r="BF487" i="5" s="1"/>
  <c r="BK487" i="5" s="1"/>
  <c r="BE76" i="5"/>
  <c r="BG76" i="5" s="1"/>
  <c r="BL76" i="5" s="1"/>
  <c r="AC487" i="5"/>
  <c r="AC76" i="5"/>
  <c r="AC218" i="5"/>
  <c r="BE127" i="5"/>
  <c r="BG127" i="5" s="1"/>
  <c r="BL127" i="5" s="1"/>
  <c r="BE321" i="5"/>
  <c r="BG321" i="5" s="1"/>
  <c r="BL321" i="5" s="1"/>
  <c r="AC353" i="5"/>
  <c r="BE27" i="5"/>
  <c r="BG27" i="5" s="1"/>
  <c r="BL27" i="5" s="1"/>
  <c r="AC127" i="5"/>
  <c r="AC321" i="5"/>
  <c r="AC485" i="5"/>
  <c r="AD27" i="5"/>
  <c r="BE493" i="5"/>
  <c r="BF493" i="5" s="1"/>
  <c r="BK493" i="5" s="1"/>
  <c r="AD485" i="5"/>
  <c r="BE551" i="5"/>
  <c r="BF551" i="5" s="1"/>
  <c r="BK551" i="5" s="1"/>
  <c r="AC493" i="5"/>
  <c r="AD12" i="5"/>
  <c r="AC12" i="5"/>
  <c r="AC475" i="5"/>
  <c r="AC234" i="5"/>
  <c r="BE475" i="5"/>
  <c r="BG475" i="5" s="1"/>
  <c r="BL475" i="5" s="1"/>
  <c r="BE314" i="5"/>
  <c r="BF314" i="5" s="1"/>
  <c r="BK314" i="5" s="1"/>
  <c r="AD159" i="5"/>
  <c r="AC314" i="5"/>
  <c r="BE25" i="5"/>
  <c r="BG25" i="5" s="1"/>
  <c r="BL25" i="5" s="1"/>
  <c r="BE506" i="5"/>
  <c r="BG506" i="5" s="1"/>
  <c r="BL506" i="5" s="1"/>
  <c r="AD25" i="5"/>
  <c r="AC506" i="5"/>
  <c r="AD326" i="5"/>
  <c r="AC255" i="5"/>
  <c r="AD255" i="5"/>
  <c r="BE277" i="5"/>
  <c r="BF277" i="5" s="1"/>
  <c r="BK277" i="5" s="1"/>
  <c r="AD277" i="5"/>
  <c r="BE273" i="5"/>
  <c r="BF273" i="5" s="1"/>
  <c r="BK273" i="5" s="1"/>
  <c r="AD273" i="5"/>
  <c r="BE326" i="5"/>
  <c r="BF326" i="5" s="1"/>
  <c r="BK326" i="5" s="1"/>
  <c r="AO545" i="5"/>
  <c r="AP545" i="5" s="1"/>
  <c r="AO297" i="5"/>
  <c r="AQ297" i="5" s="1"/>
  <c r="AO280" i="5"/>
  <c r="AP280" i="5" s="1"/>
  <c r="AO307" i="5"/>
  <c r="BH307" i="5" s="1"/>
  <c r="AO61" i="5"/>
  <c r="AQ61" i="5" s="1"/>
  <c r="AO256" i="5"/>
  <c r="AP256" i="5" s="1"/>
  <c r="AO383" i="5"/>
  <c r="AQ383" i="5" s="1"/>
  <c r="AO167" i="5"/>
  <c r="AQ167" i="5" s="1"/>
  <c r="AO537" i="5"/>
  <c r="BH537" i="5" s="1"/>
  <c r="AO289" i="5"/>
  <c r="AP289" i="5" s="1"/>
  <c r="AO41" i="5"/>
  <c r="AQ41" i="5" s="1"/>
  <c r="AO74" i="5"/>
  <c r="AP74" i="5" s="1"/>
  <c r="AO402" i="5"/>
  <c r="AP402" i="5" s="1"/>
  <c r="AO165" i="5"/>
  <c r="BH165" i="5" s="1"/>
  <c r="AO507" i="5"/>
  <c r="AP507" i="5" s="1"/>
  <c r="AO214" i="5"/>
  <c r="BH214" i="5" s="1"/>
  <c r="AO208" i="5"/>
  <c r="BH208" i="5" s="1"/>
  <c r="AO499" i="5"/>
  <c r="BH499" i="5" s="1"/>
  <c r="AB9" i="5"/>
  <c r="AD9" i="5" s="1"/>
  <c r="AO250" i="5"/>
  <c r="BH250" i="5" s="1"/>
  <c r="AO555" i="5"/>
  <c r="AQ555" i="5" s="1"/>
  <c r="AO59" i="5"/>
  <c r="AQ59" i="5" s="1"/>
  <c r="AO282" i="5"/>
  <c r="AQ282" i="5" s="1"/>
  <c r="AO262" i="5"/>
  <c r="AP262" i="5" s="1"/>
  <c r="AO557" i="5"/>
  <c r="AP557" i="5" s="1"/>
  <c r="AO504" i="5"/>
  <c r="AQ504" i="5" s="1"/>
  <c r="AO391" i="5"/>
  <c r="BH391" i="5" s="1"/>
  <c r="AO336" i="5"/>
  <c r="AQ336" i="5" s="1"/>
  <c r="AO24" i="5"/>
  <c r="AQ24" i="5" s="1"/>
  <c r="AO35" i="5"/>
  <c r="BH35" i="5" s="1"/>
  <c r="AO322" i="5"/>
  <c r="BH322" i="5" s="1"/>
  <c r="AO369" i="5"/>
  <c r="BH369" i="5" s="1"/>
  <c r="AO57" i="5"/>
  <c r="AQ57" i="5" s="1"/>
  <c r="AO68" i="5"/>
  <c r="AP68" i="5" s="1"/>
  <c r="AO363" i="5"/>
  <c r="BH363" i="5" s="1"/>
  <c r="AO115" i="5"/>
  <c r="AP115" i="5" s="1"/>
  <c r="AO90" i="5"/>
  <c r="AQ90" i="5" s="1"/>
  <c r="AO101" i="5"/>
  <c r="BH101" i="5" s="1"/>
  <c r="AO396" i="5"/>
  <c r="AP396" i="5" s="1"/>
  <c r="AO148" i="5"/>
  <c r="BH148" i="5" s="1"/>
  <c r="AO443" i="5"/>
  <c r="BH443" i="5" s="1"/>
  <c r="AO484" i="5"/>
  <c r="BH484" i="5" s="1"/>
  <c r="AO321" i="5"/>
  <c r="AP321" i="5" s="1"/>
  <c r="AO219" i="5"/>
  <c r="AQ219" i="5" s="1"/>
  <c r="AO131" i="5"/>
  <c r="AQ131" i="5" s="1"/>
  <c r="AO354" i="5"/>
  <c r="AQ354" i="5" s="1"/>
  <c r="AO42" i="5"/>
  <c r="AP42" i="5" s="1"/>
  <c r="AO164" i="5"/>
  <c r="AP164" i="5" s="1"/>
  <c r="AO395" i="5"/>
  <c r="BH395" i="5" s="1"/>
  <c r="AO83" i="5"/>
  <c r="BH83" i="5" s="1"/>
  <c r="AO197" i="5"/>
  <c r="BH197" i="5" s="1"/>
  <c r="AO428" i="5"/>
  <c r="AQ428" i="5" s="1"/>
  <c r="AO116" i="5"/>
  <c r="BH116" i="5" s="1"/>
  <c r="AO349" i="5"/>
  <c r="BH349" i="5" s="1"/>
  <c r="AO230" i="5"/>
  <c r="AQ230" i="5" s="1"/>
  <c r="AO149" i="5"/>
  <c r="AQ149" i="5" s="1"/>
  <c r="AO413" i="5"/>
  <c r="BH413" i="5" s="1"/>
  <c r="AO351" i="5"/>
  <c r="AP351" i="5" s="1"/>
  <c r="AO494" i="5"/>
  <c r="AQ494" i="5" s="1"/>
  <c r="AO182" i="5"/>
  <c r="AQ182" i="5" s="1"/>
  <c r="AO477" i="5"/>
  <c r="AP477" i="5" s="1"/>
  <c r="AO127" i="5"/>
  <c r="AQ127" i="5" s="1"/>
  <c r="AO535" i="5"/>
  <c r="AP535" i="5" s="1"/>
  <c r="AO541" i="5"/>
  <c r="BH541" i="5" s="1"/>
  <c r="AO457" i="5"/>
  <c r="BH457" i="5" s="1"/>
  <c r="AO337" i="5"/>
  <c r="AQ337" i="5" s="1"/>
  <c r="AO124" i="5"/>
  <c r="AQ124" i="5" s="1"/>
  <c r="BG511" i="5"/>
  <c r="BL511" i="5" s="1"/>
  <c r="BF511" i="5"/>
  <c r="BK511" i="5" s="1"/>
  <c r="BF67" i="5"/>
  <c r="BK67" i="5" s="1"/>
  <c r="BG67" i="5"/>
  <c r="BL67" i="5" s="1"/>
  <c r="AM465" i="5"/>
  <c r="AN465" i="5"/>
  <c r="AN517" i="5"/>
  <c r="AM517" i="5"/>
  <c r="AN288" i="5"/>
  <c r="AM288" i="5"/>
  <c r="AM225" i="5"/>
  <c r="AN225" i="5"/>
  <c r="AM528" i="5"/>
  <c r="AN528" i="5"/>
  <c r="AN283" i="5"/>
  <c r="AM283" i="5"/>
  <c r="AN552" i="5"/>
  <c r="AM552" i="5"/>
  <c r="AN301" i="5"/>
  <c r="AM301" i="5"/>
  <c r="AM358" i="5"/>
  <c r="AN358" i="5"/>
  <c r="AM23" i="5"/>
  <c r="AN23" i="5"/>
  <c r="AN247" i="5"/>
  <c r="AM247" i="5"/>
  <c r="AN241" i="5"/>
  <c r="AM241" i="5"/>
  <c r="AN316" i="5"/>
  <c r="AM316" i="5"/>
  <c r="AM438" i="5"/>
  <c r="AN438" i="5"/>
  <c r="AN281" i="5"/>
  <c r="AM281" i="5"/>
  <c r="AM376" i="5"/>
  <c r="AN376" i="5"/>
  <c r="AN445" i="5"/>
  <c r="AM445" i="5"/>
  <c r="AN313" i="5"/>
  <c r="AM313" i="5"/>
  <c r="AM224" i="5"/>
  <c r="AN224" i="5"/>
  <c r="AM243" i="5"/>
  <c r="AN243" i="5"/>
  <c r="AM377" i="5"/>
  <c r="AN377" i="5"/>
  <c r="AO49" i="5"/>
  <c r="AO260" i="5"/>
  <c r="AO309" i="5"/>
  <c r="AO552" i="5"/>
  <c r="AM209" i="5"/>
  <c r="AN209" i="5"/>
  <c r="AM128" i="5"/>
  <c r="AN128" i="5"/>
  <c r="AM476" i="5"/>
  <c r="AN476" i="5"/>
  <c r="AN560" i="5"/>
  <c r="AM560" i="5"/>
  <c r="AM461" i="5"/>
  <c r="AN461" i="5"/>
  <c r="AM538" i="5"/>
  <c r="AN538" i="5"/>
  <c r="BG307" i="5"/>
  <c r="BL307" i="5" s="1"/>
  <c r="BF307" i="5"/>
  <c r="BK307" i="5" s="1"/>
  <c r="BF161" i="5"/>
  <c r="BK161" i="5" s="1"/>
  <c r="BG161" i="5"/>
  <c r="BL161" i="5" s="1"/>
  <c r="AM9" i="5"/>
  <c r="AN9" i="5"/>
  <c r="BF447" i="5"/>
  <c r="BK447" i="5" s="1"/>
  <c r="BG447" i="5"/>
  <c r="BL447" i="5" s="1"/>
  <c r="BG430" i="5"/>
  <c r="BL430" i="5" s="1"/>
  <c r="BF430" i="5"/>
  <c r="BK430" i="5" s="1"/>
  <c r="BF553" i="5"/>
  <c r="BK553" i="5" s="1"/>
  <c r="BG553" i="5"/>
  <c r="BL553" i="5" s="1"/>
  <c r="BG305" i="5"/>
  <c r="BL305" i="5" s="1"/>
  <c r="BF305" i="5"/>
  <c r="BK305" i="5" s="1"/>
  <c r="AN342" i="5"/>
  <c r="AM342" i="5"/>
  <c r="AN276" i="5"/>
  <c r="AM276" i="5"/>
  <c r="AN257" i="5"/>
  <c r="AM257" i="5"/>
  <c r="AM49" i="5"/>
  <c r="AN49" i="5"/>
  <c r="AN56" i="5"/>
  <c r="AM56" i="5"/>
  <c r="AM299" i="5"/>
  <c r="AN299" i="5"/>
  <c r="AN246" i="5"/>
  <c r="AM246" i="5"/>
  <c r="BF30" i="5"/>
  <c r="BK30" i="5" s="1"/>
  <c r="BG30" i="5"/>
  <c r="BL30" i="5" s="1"/>
  <c r="BF258" i="5"/>
  <c r="BK258" i="5" s="1"/>
  <c r="BG258" i="5"/>
  <c r="BL258" i="5" s="1"/>
  <c r="BG278" i="5"/>
  <c r="BL278" i="5" s="1"/>
  <c r="BF278" i="5"/>
  <c r="BK278" i="5" s="1"/>
  <c r="BG404" i="5"/>
  <c r="BL404" i="5" s="1"/>
  <c r="BF404" i="5"/>
  <c r="BK404" i="5" s="1"/>
  <c r="BG373" i="5"/>
  <c r="BL373" i="5" s="1"/>
  <c r="BF373" i="5"/>
  <c r="BK373" i="5" s="1"/>
  <c r="AM462" i="5"/>
  <c r="AN462" i="5"/>
  <c r="AM239" i="5"/>
  <c r="AN239" i="5"/>
  <c r="AN180" i="5"/>
  <c r="AM180" i="5"/>
  <c r="AN160" i="5"/>
  <c r="AM160" i="5"/>
  <c r="AM330" i="5"/>
  <c r="AN330" i="5"/>
  <c r="AM417" i="5"/>
  <c r="AN417" i="5"/>
  <c r="AN367" i="5"/>
  <c r="AM367" i="5"/>
  <c r="BG448" i="5"/>
  <c r="BL448" i="5" s="1"/>
  <c r="BF448" i="5"/>
  <c r="BK448" i="5" s="1"/>
  <c r="BF541" i="5"/>
  <c r="BK541" i="5" s="1"/>
  <c r="BG541" i="5"/>
  <c r="BL541" i="5" s="1"/>
  <c r="BG133" i="5"/>
  <c r="BL133" i="5" s="1"/>
  <c r="BF133" i="5"/>
  <c r="BK133" i="5" s="1"/>
  <c r="AM324" i="5"/>
  <c r="AN324" i="5"/>
  <c r="AN25" i="5"/>
  <c r="AM25" i="5"/>
  <c r="AM267" i="5"/>
  <c r="AN267" i="5"/>
  <c r="AN319" i="5"/>
  <c r="AM319" i="5"/>
  <c r="AN22" i="5"/>
  <c r="AM22" i="5"/>
  <c r="AM30" i="5"/>
  <c r="AN30" i="5"/>
  <c r="AM357" i="5"/>
  <c r="AN357" i="5"/>
  <c r="AM122" i="5"/>
  <c r="AN122" i="5"/>
  <c r="BF478" i="5"/>
  <c r="BK478" i="5" s="1"/>
  <c r="BG478" i="5"/>
  <c r="BL478" i="5" s="1"/>
  <c r="BG272" i="5"/>
  <c r="BL272" i="5" s="1"/>
  <c r="BF272" i="5"/>
  <c r="BK272" i="5" s="1"/>
  <c r="AN260" i="5"/>
  <c r="AM260" i="5"/>
  <c r="AN333" i="5"/>
  <c r="AM333" i="5"/>
  <c r="AN309" i="5"/>
  <c r="AM309" i="5"/>
  <c r="AN421" i="5"/>
  <c r="AM421" i="5"/>
  <c r="AM203" i="5"/>
  <c r="AN203" i="5"/>
  <c r="AN184" i="5"/>
  <c r="AM184" i="5"/>
  <c r="BG497" i="5"/>
  <c r="BL497" i="5" s="1"/>
  <c r="BF497" i="5"/>
  <c r="BK497" i="5" s="1"/>
  <c r="BF522" i="5"/>
  <c r="BK522" i="5" s="1"/>
  <c r="BG522" i="5"/>
  <c r="BL522" i="5" s="1"/>
  <c r="BG221" i="5"/>
  <c r="BL221" i="5" s="1"/>
  <c r="BF221" i="5"/>
  <c r="BK221" i="5" s="1"/>
  <c r="AM439" i="5"/>
  <c r="AN439" i="5"/>
  <c r="AN378" i="5"/>
  <c r="AM378" i="5"/>
  <c r="AN459" i="5"/>
  <c r="AM459" i="5"/>
  <c r="AN72" i="5"/>
  <c r="AM72" i="5"/>
  <c r="AN175" i="5"/>
  <c r="AM175" i="5"/>
  <c r="AN320" i="5"/>
  <c r="AM320" i="5"/>
  <c r="AM554" i="5"/>
  <c r="AN554" i="5"/>
  <c r="BF231" i="5"/>
  <c r="BK231" i="5" s="1"/>
  <c r="BG231" i="5"/>
  <c r="BL231" i="5" s="1"/>
  <c r="BF434" i="5"/>
  <c r="BK434" i="5" s="1"/>
  <c r="BG434" i="5"/>
  <c r="BL434" i="5" s="1"/>
  <c r="BG488" i="5"/>
  <c r="BL488" i="5" s="1"/>
  <c r="BF488" i="5"/>
  <c r="BK488" i="5" s="1"/>
  <c r="BF319" i="5"/>
  <c r="BK319" i="5" s="1"/>
  <c r="BG319" i="5"/>
  <c r="BL319" i="5" s="1"/>
  <c r="BF107" i="5"/>
  <c r="BK107" i="5" s="1"/>
  <c r="BG107" i="5"/>
  <c r="BL107" i="5" s="1"/>
  <c r="AN473" i="5"/>
  <c r="AM473" i="5"/>
  <c r="AM455" i="5"/>
  <c r="AN455" i="5"/>
  <c r="AM480" i="5"/>
  <c r="AN480" i="5"/>
  <c r="AM434" i="5"/>
  <c r="AN434" i="5"/>
  <c r="AM120" i="5"/>
  <c r="AN120" i="5"/>
  <c r="AM162" i="5"/>
  <c r="AN162" i="5"/>
  <c r="BG252" i="5"/>
  <c r="BL252" i="5" s="1"/>
  <c r="BF252" i="5"/>
  <c r="BK252" i="5" s="1"/>
  <c r="BF63" i="5"/>
  <c r="BK63" i="5" s="1"/>
  <c r="BG63" i="5"/>
  <c r="BL63" i="5" s="1"/>
  <c r="AO283" i="5"/>
  <c r="AO316" i="5"/>
  <c r="AO461" i="5"/>
  <c r="AO224" i="5"/>
  <c r="BG492" i="5"/>
  <c r="BL492" i="5" s="1"/>
  <c r="BF492" i="5"/>
  <c r="BK492" i="5" s="1"/>
  <c r="BG97" i="5"/>
  <c r="BL97" i="5" s="1"/>
  <c r="BF97" i="5"/>
  <c r="BK97" i="5" s="1"/>
  <c r="BG420" i="5"/>
  <c r="BL420" i="5" s="1"/>
  <c r="BF420" i="5"/>
  <c r="BK420" i="5" s="1"/>
  <c r="BF83" i="5"/>
  <c r="BK83" i="5" s="1"/>
  <c r="BG83" i="5"/>
  <c r="BL83" i="5" s="1"/>
  <c r="BG400" i="5"/>
  <c r="BL400" i="5" s="1"/>
  <c r="BF400" i="5"/>
  <c r="BK400" i="5" s="1"/>
  <c r="BF199" i="5"/>
  <c r="BK199" i="5" s="1"/>
  <c r="BG199" i="5"/>
  <c r="BL199" i="5" s="1"/>
  <c r="BG157" i="5"/>
  <c r="BL157" i="5" s="1"/>
  <c r="BF157" i="5"/>
  <c r="BK157" i="5" s="1"/>
  <c r="BG165" i="5"/>
  <c r="BL165" i="5" s="1"/>
  <c r="BF165" i="5"/>
  <c r="BK165" i="5" s="1"/>
  <c r="BG164" i="5"/>
  <c r="BL164" i="5" s="1"/>
  <c r="BF164" i="5"/>
  <c r="BK164" i="5" s="1"/>
  <c r="BF386" i="5"/>
  <c r="BK386" i="5" s="1"/>
  <c r="BG386" i="5"/>
  <c r="BL386" i="5" s="1"/>
  <c r="BF204" i="5"/>
  <c r="BK204" i="5" s="1"/>
  <c r="BG204" i="5"/>
  <c r="BL204" i="5" s="1"/>
  <c r="BG219" i="5"/>
  <c r="BL219" i="5" s="1"/>
  <c r="BF219" i="5"/>
  <c r="BK219" i="5" s="1"/>
  <c r="BG150" i="5"/>
  <c r="BL150" i="5" s="1"/>
  <c r="BF150" i="5"/>
  <c r="BK150" i="5" s="1"/>
  <c r="BG170" i="5"/>
  <c r="BL170" i="5" s="1"/>
  <c r="BF170" i="5"/>
  <c r="BK170" i="5" s="1"/>
  <c r="BG126" i="5"/>
  <c r="BL126" i="5" s="1"/>
  <c r="BF126" i="5"/>
  <c r="BK126" i="5" s="1"/>
  <c r="BF120" i="5"/>
  <c r="BK120" i="5" s="1"/>
  <c r="BG120" i="5"/>
  <c r="BL120" i="5" s="1"/>
  <c r="BG29" i="5"/>
  <c r="BL29" i="5" s="1"/>
  <c r="BF29" i="5"/>
  <c r="BK29" i="5" s="1"/>
  <c r="BG167" i="5"/>
  <c r="BL167" i="5" s="1"/>
  <c r="BF167" i="5"/>
  <c r="BK167" i="5" s="1"/>
  <c r="BF62" i="5"/>
  <c r="BK62" i="5" s="1"/>
  <c r="BG62" i="5"/>
  <c r="BL62" i="5" s="1"/>
  <c r="BG121" i="5"/>
  <c r="BL121" i="5" s="1"/>
  <c r="BF121" i="5"/>
  <c r="BK121" i="5" s="1"/>
  <c r="AC482" i="5"/>
  <c r="AD482" i="5"/>
  <c r="BE482" i="5"/>
  <c r="AX9" i="5"/>
  <c r="AW9" i="5"/>
  <c r="BF60" i="5"/>
  <c r="BK60" i="5" s="1"/>
  <c r="BG60" i="5"/>
  <c r="BL60" i="5" s="1"/>
  <c r="BG531" i="5"/>
  <c r="BL531" i="5" s="1"/>
  <c r="BF531" i="5"/>
  <c r="BK531" i="5" s="1"/>
  <c r="BF401" i="5"/>
  <c r="BK401" i="5" s="1"/>
  <c r="BG401" i="5"/>
  <c r="BL401" i="5" s="1"/>
  <c r="BF93" i="5"/>
  <c r="BK93" i="5" s="1"/>
  <c r="BG93" i="5"/>
  <c r="BL93" i="5" s="1"/>
  <c r="BF450" i="5"/>
  <c r="BK450" i="5" s="1"/>
  <c r="BG450" i="5"/>
  <c r="BL450" i="5" s="1"/>
  <c r="AN11" i="5"/>
  <c r="AM11" i="5"/>
  <c r="AN291" i="5"/>
  <c r="AM291" i="5"/>
  <c r="AM500" i="5"/>
  <c r="AN500" i="5"/>
  <c r="AM379" i="5"/>
  <c r="AN379" i="5"/>
  <c r="AN419" i="5"/>
  <c r="AM419" i="5"/>
  <c r="AN543" i="5"/>
  <c r="AM543" i="5"/>
  <c r="AM336" i="5"/>
  <c r="AN336" i="5"/>
  <c r="AM551" i="5"/>
  <c r="AN551" i="5"/>
  <c r="AN539" i="5"/>
  <c r="AM539" i="5"/>
  <c r="AM112" i="5"/>
  <c r="AN112" i="5"/>
  <c r="AN430" i="5"/>
  <c r="AM430" i="5"/>
  <c r="AM86" i="5"/>
  <c r="AN86" i="5"/>
  <c r="AN510" i="5"/>
  <c r="AM510" i="5"/>
  <c r="AN436" i="5"/>
  <c r="AM436" i="5"/>
  <c r="AN429" i="5"/>
  <c r="AM429" i="5"/>
  <c r="AN228" i="5"/>
  <c r="AM228" i="5"/>
  <c r="AN146" i="5"/>
  <c r="AM146" i="5"/>
  <c r="AN535" i="5"/>
  <c r="AM535" i="5"/>
  <c r="AN136" i="5"/>
  <c r="AM136" i="5"/>
  <c r="AN134" i="5"/>
  <c r="AM134" i="5"/>
  <c r="AM149" i="5"/>
  <c r="AN149" i="5"/>
  <c r="AN403" i="5"/>
  <c r="AM403" i="5"/>
  <c r="AN519" i="5"/>
  <c r="AM519" i="5"/>
  <c r="AM374" i="5"/>
  <c r="AN374" i="5"/>
  <c r="AN487" i="5"/>
  <c r="AM487" i="5"/>
  <c r="AM107" i="5"/>
  <c r="AN107" i="5"/>
  <c r="AM306" i="5"/>
  <c r="AN306" i="5"/>
  <c r="AN226" i="5"/>
  <c r="AM226" i="5"/>
  <c r="AM261" i="5"/>
  <c r="AN261" i="5"/>
  <c r="AN311" i="5"/>
  <c r="AM311" i="5"/>
  <c r="AM10" i="5"/>
  <c r="AN10" i="5"/>
  <c r="AN118" i="5"/>
  <c r="AM118" i="5"/>
  <c r="AN345" i="5"/>
  <c r="AM345" i="5"/>
  <c r="AN67" i="5"/>
  <c r="AM67" i="5"/>
  <c r="AM450" i="5"/>
  <c r="AN450" i="5"/>
  <c r="AN204" i="5"/>
  <c r="AM204" i="5"/>
  <c r="AN518" i="5"/>
  <c r="AM518" i="5"/>
  <c r="AN431" i="5"/>
  <c r="AM431" i="5"/>
  <c r="AN304" i="5"/>
  <c r="AM304" i="5"/>
  <c r="AN170" i="5"/>
  <c r="AM170" i="5"/>
  <c r="AN244" i="5"/>
  <c r="AM244" i="5"/>
  <c r="AN533" i="5"/>
  <c r="AM533" i="5"/>
  <c r="AN168" i="5"/>
  <c r="AM168" i="5"/>
  <c r="AN104" i="5"/>
  <c r="AM104" i="5"/>
  <c r="AN307" i="5"/>
  <c r="AM307" i="5"/>
  <c r="AM547" i="5"/>
  <c r="AN547" i="5"/>
  <c r="AM399" i="5"/>
  <c r="AN399" i="5"/>
  <c r="AN206" i="5"/>
  <c r="AM206" i="5"/>
  <c r="AM556" i="5"/>
  <c r="AN556" i="5"/>
  <c r="AM163" i="5"/>
  <c r="AN163" i="5"/>
  <c r="AM61" i="5"/>
  <c r="AN61" i="5"/>
  <c r="AN132" i="5"/>
  <c r="AM132" i="5"/>
  <c r="AM454" i="5"/>
  <c r="AN454" i="5"/>
  <c r="AM407" i="5"/>
  <c r="AN407" i="5"/>
  <c r="AN503" i="5"/>
  <c r="AM503" i="5"/>
  <c r="AM335" i="5"/>
  <c r="AN335" i="5"/>
  <c r="AM156" i="5"/>
  <c r="AN156" i="5"/>
  <c r="AN82" i="5"/>
  <c r="AM82" i="5"/>
  <c r="AN157" i="5"/>
  <c r="AM157" i="5"/>
  <c r="AN92" i="5"/>
  <c r="AM92" i="5"/>
  <c r="AM91" i="5"/>
  <c r="AN91" i="5"/>
  <c r="AM362" i="5"/>
  <c r="AN362" i="5"/>
  <c r="AN269" i="5"/>
  <c r="AM269" i="5"/>
  <c r="AM186" i="5"/>
  <c r="AN186" i="5"/>
  <c r="AM76" i="5"/>
  <c r="AN76" i="5"/>
  <c r="AM181" i="5"/>
  <c r="AN181" i="5"/>
  <c r="AN108" i="5"/>
  <c r="AM108" i="5"/>
  <c r="AM137" i="5"/>
  <c r="AN137" i="5"/>
  <c r="AM392" i="5"/>
  <c r="AN392" i="5"/>
  <c r="AO227" i="5"/>
  <c r="AO514" i="5"/>
  <c r="AO266" i="5"/>
  <c r="AO19" i="5"/>
  <c r="AO249" i="5"/>
  <c r="AO229" i="5"/>
  <c r="AO524" i="5"/>
  <c r="AO276" i="5"/>
  <c r="AO28" i="5"/>
  <c r="AO422" i="5"/>
  <c r="AO95" i="5"/>
  <c r="AO526" i="5"/>
  <c r="AO278" i="5"/>
  <c r="AO30" i="5"/>
  <c r="AO473" i="5"/>
  <c r="AO225" i="5"/>
  <c r="AO520" i="5"/>
  <c r="AO272" i="5"/>
  <c r="AO12" i="5"/>
  <c r="AO506" i="5"/>
  <c r="AO258" i="5"/>
  <c r="AO553" i="5"/>
  <c r="AO305" i="5"/>
  <c r="AO536" i="5"/>
  <c r="AO547" i="5"/>
  <c r="AO299" i="5"/>
  <c r="AO51" i="5"/>
  <c r="AO338" i="5"/>
  <c r="AO26" i="5"/>
  <c r="AO37" i="5"/>
  <c r="AO332" i="5"/>
  <c r="AO84" i="5"/>
  <c r="AO379" i="5"/>
  <c r="AO515" i="5"/>
  <c r="AO70" i="5"/>
  <c r="AO365" i="5"/>
  <c r="AO117" i="5"/>
  <c r="AO412" i="5"/>
  <c r="AO67" i="5"/>
  <c r="AO290" i="5"/>
  <c r="AO521" i="5"/>
  <c r="AO306" i="5"/>
  <c r="AO100" i="5"/>
  <c r="AO331" i="5"/>
  <c r="AO554" i="5"/>
  <c r="AO347" i="5"/>
  <c r="AO133" i="5"/>
  <c r="AO364" i="5"/>
  <c r="AO52" i="5"/>
  <c r="AO380" i="5"/>
  <c r="AO166" i="5"/>
  <c r="AO397" i="5"/>
  <c r="AO85" i="5"/>
  <c r="AO444" i="5"/>
  <c r="AO407" i="5"/>
  <c r="AO430" i="5"/>
  <c r="AO118" i="5"/>
  <c r="AO508" i="5"/>
  <c r="AO160" i="5"/>
  <c r="AO247" i="5"/>
  <c r="AO23" i="5"/>
  <c r="AO29" i="5"/>
  <c r="AO193" i="5"/>
  <c r="AO424" i="5"/>
  <c r="AO273" i="5"/>
  <c r="AO178" i="5"/>
  <c r="AO426" i="5"/>
  <c r="AO401" i="5"/>
  <c r="AO155" i="5"/>
  <c r="BG402" i="5"/>
  <c r="BL402" i="5" s="1"/>
  <c r="BF402" i="5"/>
  <c r="BK402" i="5" s="1"/>
  <c r="BG344" i="5"/>
  <c r="BL344" i="5" s="1"/>
  <c r="BF344" i="5"/>
  <c r="BK344" i="5" s="1"/>
  <c r="BG336" i="5"/>
  <c r="BL336" i="5" s="1"/>
  <c r="BF336" i="5"/>
  <c r="BK336" i="5" s="1"/>
  <c r="BF183" i="5"/>
  <c r="BK183" i="5" s="1"/>
  <c r="BG183" i="5"/>
  <c r="BL183" i="5" s="1"/>
  <c r="BG217" i="5"/>
  <c r="BL217" i="5" s="1"/>
  <c r="BF217" i="5"/>
  <c r="BK217" i="5" s="1"/>
  <c r="BG40" i="5"/>
  <c r="BL40" i="5" s="1"/>
  <c r="BF40" i="5"/>
  <c r="BK40" i="5" s="1"/>
  <c r="BF166" i="5"/>
  <c r="BK166" i="5" s="1"/>
  <c r="BG166" i="5"/>
  <c r="BL166" i="5" s="1"/>
  <c r="BG57" i="5"/>
  <c r="BL57" i="5" s="1"/>
  <c r="BF57" i="5"/>
  <c r="BK57" i="5" s="1"/>
  <c r="BF547" i="5"/>
  <c r="BK547" i="5" s="1"/>
  <c r="BG547" i="5"/>
  <c r="BL547" i="5" s="1"/>
  <c r="BF293" i="5"/>
  <c r="BK293" i="5" s="1"/>
  <c r="BG293" i="5"/>
  <c r="BL293" i="5" s="1"/>
  <c r="BF236" i="5"/>
  <c r="BK236" i="5" s="1"/>
  <c r="BG236" i="5"/>
  <c r="BL236" i="5" s="1"/>
  <c r="BG255" i="5"/>
  <c r="BL255" i="5" s="1"/>
  <c r="BF255" i="5"/>
  <c r="BK255" i="5" s="1"/>
  <c r="BF143" i="5"/>
  <c r="BK143" i="5" s="1"/>
  <c r="BG143" i="5"/>
  <c r="BL143" i="5" s="1"/>
  <c r="BG192" i="5"/>
  <c r="BL192" i="5" s="1"/>
  <c r="BF192" i="5"/>
  <c r="BK192" i="5" s="1"/>
  <c r="BF137" i="5"/>
  <c r="BK137" i="5" s="1"/>
  <c r="BG137" i="5"/>
  <c r="BL137" i="5" s="1"/>
  <c r="AU9" i="5"/>
  <c r="AT9" i="5"/>
  <c r="BF106" i="5"/>
  <c r="BK106" i="5" s="1"/>
  <c r="BG106" i="5"/>
  <c r="BL106" i="5" s="1"/>
  <c r="BF300" i="5"/>
  <c r="BK300" i="5" s="1"/>
  <c r="BG300" i="5"/>
  <c r="BL300" i="5" s="1"/>
  <c r="BG512" i="5"/>
  <c r="BL512" i="5" s="1"/>
  <c r="BF512" i="5"/>
  <c r="BK512" i="5" s="1"/>
  <c r="AN7" i="5"/>
  <c r="AM7" i="5"/>
  <c r="AN453" i="5"/>
  <c r="AM453" i="5"/>
  <c r="AM534" i="5"/>
  <c r="AN534" i="5"/>
  <c r="AN344" i="5"/>
  <c r="AM344" i="5"/>
  <c r="AM315" i="5"/>
  <c r="AN315" i="5"/>
  <c r="AM478" i="5"/>
  <c r="AN478" i="5"/>
  <c r="AM369" i="5"/>
  <c r="AN369" i="5"/>
  <c r="AM219" i="5"/>
  <c r="AN219" i="5"/>
  <c r="AN293" i="5"/>
  <c r="AM293" i="5"/>
  <c r="AN51" i="5"/>
  <c r="AM51" i="5"/>
  <c r="AM329" i="5"/>
  <c r="AN329" i="5"/>
  <c r="AN471" i="5"/>
  <c r="AM471" i="5"/>
  <c r="AN435" i="5"/>
  <c r="AM435" i="5"/>
  <c r="AN513" i="5"/>
  <c r="AM513" i="5"/>
  <c r="AM485" i="5"/>
  <c r="AN485" i="5"/>
  <c r="AM248" i="5"/>
  <c r="AN248" i="5"/>
  <c r="AM183" i="5"/>
  <c r="AN183" i="5"/>
  <c r="AN398" i="5"/>
  <c r="AM398" i="5"/>
  <c r="AM43" i="5"/>
  <c r="AN43" i="5"/>
  <c r="AM101" i="5"/>
  <c r="AN101" i="5"/>
  <c r="AM347" i="5"/>
  <c r="AN347" i="5"/>
  <c r="AM385" i="5"/>
  <c r="AN385" i="5"/>
  <c r="AM386" i="5"/>
  <c r="AN386" i="5"/>
  <c r="AM154" i="5"/>
  <c r="AN154" i="5"/>
  <c r="AN37" i="5"/>
  <c r="AM37" i="5"/>
  <c r="AN536" i="5"/>
  <c r="AM536" i="5"/>
  <c r="AM95" i="5"/>
  <c r="AN95" i="5"/>
  <c r="AM93" i="5"/>
  <c r="AN93" i="5"/>
  <c r="AN142" i="5"/>
  <c r="AM142" i="5"/>
  <c r="AM418" i="5"/>
  <c r="AN418" i="5"/>
  <c r="AM382" i="5"/>
  <c r="AN382" i="5"/>
  <c r="AN199" i="5"/>
  <c r="AM199" i="5"/>
  <c r="AN189" i="5"/>
  <c r="AM189" i="5"/>
  <c r="AM322" i="5"/>
  <c r="AN322" i="5"/>
  <c r="AM194" i="5"/>
  <c r="AN194" i="5"/>
  <c r="AM233" i="5"/>
  <c r="AN233" i="5"/>
  <c r="AN544" i="5"/>
  <c r="AM544" i="5"/>
  <c r="AN514" i="5"/>
  <c r="AM514" i="5"/>
  <c r="AN354" i="5"/>
  <c r="AM354" i="5"/>
  <c r="AN188" i="5"/>
  <c r="AM188" i="5"/>
  <c r="AM27" i="5"/>
  <c r="AN27" i="5"/>
  <c r="AM42" i="5"/>
  <c r="AN42" i="5"/>
  <c r="AN161" i="5"/>
  <c r="AM161" i="5"/>
  <c r="AN77" i="5"/>
  <c r="AM77" i="5"/>
  <c r="AM348" i="5"/>
  <c r="AN348" i="5"/>
  <c r="AN523" i="5"/>
  <c r="AM523" i="5"/>
  <c r="AN256" i="5"/>
  <c r="AM256" i="5"/>
  <c r="AN21" i="5"/>
  <c r="AM21" i="5"/>
  <c r="AM361" i="5"/>
  <c r="AN361" i="5"/>
  <c r="AM176" i="5"/>
  <c r="AN176" i="5"/>
  <c r="AN302" i="5"/>
  <c r="AM302" i="5"/>
  <c r="AN268" i="5"/>
  <c r="AM268" i="5"/>
  <c r="AN363" i="5"/>
  <c r="AM363" i="5"/>
  <c r="AM482" i="5"/>
  <c r="AN482" i="5"/>
  <c r="AM346" i="5"/>
  <c r="AN346" i="5"/>
  <c r="AM314" i="5"/>
  <c r="AN314" i="5"/>
  <c r="AN303" i="5"/>
  <c r="AM303" i="5"/>
  <c r="AM350" i="5"/>
  <c r="AN350" i="5"/>
  <c r="AM173" i="5"/>
  <c r="AN173" i="5"/>
  <c r="AN532" i="5"/>
  <c r="AM532" i="5"/>
  <c r="AM251" i="5"/>
  <c r="AN251" i="5"/>
  <c r="AN466" i="5"/>
  <c r="AM466" i="5"/>
  <c r="AN284" i="5"/>
  <c r="AM284" i="5"/>
  <c r="AM196" i="5"/>
  <c r="AN196" i="5"/>
  <c r="AN475" i="5"/>
  <c r="AM475" i="5"/>
  <c r="AN36" i="5"/>
  <c r="AM36" i="5"/>
  <c r="AN215" i="5"/>
  <c r="AM215" i="5"/>
  <c r="AM273" i="5"/>
  <c r="AN273" i="5"/>
  <c r="AN373" i="5"/>
  <c r="AM373" i="5"/>
  <c r="AO196" i="5"/>
  <c r="AO491" i="5"/>
  <c r="AO243" i="5"/>
  <c r="AO530" i="5"/>
  <c r="AO218" i="5"/>
  <c r="AO198" i="5"/>
  <c r="AO493" i="5"/>
  <c r="AO245" i="5"/>
  <c r="AO540" i="5"/>
  <c r="AO440" i="5"/>
  <c r="AO192" i="5"/>
  <c r="AO503" i="5"/>
  <c r="AO223" i="5"/>
  <c r="AO542" i="5"/>
  <c r="AO442" i="5"/>
  <c r="AO194" i="5"/>
  <c r="AO489" i="5"/>
  <c r="AO241" i="5"/>
  <c r="AO472" i="5"/>
  <c r="AO483" i="5"/>
  <c r="AO235" i="5"/>
  <c r="AO522" i="5"/>
  <c r="AO274" i="5"/>
  <c r="AO505" i="5"/>
  <c r="AO516" i="5"/>
  <c r="AO268" i="5"/>
  <c r="AO20" i="5"/>
  <c r="AO315" i="5"/>
  <c r="AO538" i="5"/>
  <c r="AO549" i="5"/>
  <c r="AO301" i="5"/>
  <c r="AO53" i="5"/>
  <c r="AO348" i="5"/>
  <c r="AO203" i="5"/>
  <c r="AO199" i="5"/>
  <c r="AO334" i="5"/>
  <c r="AO86" i="5"/>
  <c r="AO381" i="5"/>
  <c r="AO36" i="5"/>
  <c r="AO267" i="5"/>
  <c r="AO490" i="5"/>
  <c r="AO370" i="5"/>
  <c r="AO69" i="5"/>
  <c r="AO300" i="5"/>
  <c r="AO531" i="5"/>
  <c r="AO411" i="5"/>
  <c r="AO102" i="5"/>
  <c r="AO333" i="5"/>
  <c r="AO21" i="5"/>
  <c r="AO475" i="5"/>
  <c r="AO463" i="5"/>
  <c r="AO366" i="5"/>
  <c r="AO54" i="5"/>
  <c r="AO539" i="5"/>
  <c r="AO96" i="5"/>
  <c r="AO303" i="5"/>
  <c r="AO79" i="5"/>
  <c r="AO60" i="5"/>
  <c r="AO129" i="5"/>
  <c r="AO360" i="5"/>
  <c r="AO304" i="5"/>
  <c r="AO319" i="5"/>
  <c r="AO162" i="5"/>
  <c r="AO393" i="5"/>
  <c r="AO368" i="5"/>
  <c r="AO172" i="5"/>
  <c r="AO403" i="5"/>
  <c r="AO465" i="5"/>
  <c r="AO7" i="5"/>
  <c r="BH7" i="5" s="1"/>
  <c r="BF416" i="5"/>
  <c r="BK416" i="5" s="1"/>
  <c r="BG416" i="5"/>
  <c r="BL416" i="5" s="1"/>
  <c r="BG142" i="5"/>
  <c r="BL142" i="5" s="1"/>
  <c r="BF142" i="5"/>
  <c r="BK142" i="5" s="1"/>
  <c r="BG246" i="5"/>
  <c r="BL246" i="5" s="1"/>
  <c r="BF246" i="5"/>
  <c r="BK246" i="5" s="1"/>
  <c r="BG207" i="5"/>
  <c r="BL207" i="5" s="1"/>
  <c r="BF207" i="5"/>
  <c r="BK207" i="5" s="1"/>
  <c r="BF256" i="5"/>
  <c r="BK256" i="5" s="1"/>
  <c r="BG256" i="5"/>
  <c r="BL256" i="5" s="1"/>
  <c r="AD265" i="5"/>
  <c r="AC265" i="5"/>
  <c r="BE265" i="5"/>
  <c r="BG78" i="5"/>
  <c r="BL78" i="5" s="1"/>
  <c r="BF78" i="5"/>
  <c r="BK78" i="5" s="1"/>
  <c r="BG523" i="5"/>
  <c r="BL523" i="5" s="1"/>
  <c r="BF523" i="5"/>
  <c r="BK523" i="5" s="1"/>
  <c r="BF51" i="5"/>
  <c r="BK51" i="5" s="1"/>
  <c r="BG51" i="5"/>
  <c r="BL51" i="5" s="1"/>
  <c r="BF552" i="5"/>
  <c r="BK552" i="5" s="1"/>
  <c r="BG552" i="5"/>
  <c r="BL552" i="5" s="1"/>
  <c r="BF291" i="5"/>
  <c r="BK291" i="5" s="1"/>
  <c r="BG291" i="5"/>
  <c r="BL291" i="5" s="1"/>
  <c r="BG449" i="5"/>
  <c r="BL449" i="5" s="1"/>
  <c r="BF449" i="5"/>
  <c r="BK449" i="5" s="1"/>
  <c r="BG461" i="5"/>
  <c r="BL461" i="5" s="1"/>
  <c r="BF461" i="5"/>
  <c r="BK461" i="5" s="1"/>
  <c r="BF375" i="5"/>
  <c r="BK375" i="5" s="1"/>
  <c r="BG375" i="5"/>
  <c r="BL375" i="5" s="1"/>
  <c r="BF55" i="5"/>
  <c r="BK55" i="5" s="1"/>
  <c r="BG55" i="5"/>
  <c r="BL55" i="5" s="1"/>
  <c r="BG503" i="5"/>
  <c r="BL503" i="5" s="1"/>
  <c r="BF503" i="5"/>
  <c r="BK503" i="5" s="1"/>
  <c r="BG230" i="5"/>
  <c r="BL230" i="5" s="1"/>
  <c r="BF230" i="5"/>
  <c r="BK230" i="5" s="1"/>
  <c r="BG31" i="5"/>
  <c r="BL31" i="5" s="1"/>
  <c r="BF31" i="5"/>
  <c r="BK31" i="5" s="1"/>
  <c r="BG238" i="5"/>
  <c r="BL238" i="5" s="1"/>
  <c r="BF238" i="5"/>
  <c r="BK238" i="5" s="1"/>
  <c r="BG545" i="5"/>
  <c r="BL545" i="5" s="1"/>
  <c r="BF545" i="5"/>
  <c r="BK545" i="5" s="1"/>
  <c r="AA9" i="5"/>
  <c r="Z9" i="5"/>
  <c r="BF374" i="5"/>
  <c r="BK374" i="5" s="1"/>
  <c r="BG374" i="5"/>
  <c r="BL374" i="5" s="1"/>
  <c r="AM530" i="5"/>
  <c r="AN530" i="5"/>
  <c r="AM130" i="5"/>
  <c r="AN130" i="5"/>
  <c r="AN506" i="5"/>
  <c r="AM506" i="5"/>
  <c r="AN477" i="5"/>
  <c r="AM477" i="5"/>
  <c r="AM271" i="5"/>
  <c r="AN271" i="5"/>
  <c r="AN351" i="5"/>
  <c r="AM351" i="5"/>
  <c r="AM234" i="5"/>
  <c r="AN234" i="5"/>
  <c r="AM40" i="5"/>
  <c r="AN40" i="5"/>
  <c r="AM119" i="5"/>
  <c r="AN119" i="5"/>
  <c r="AM409" i="5"/>
  <c r="AN409" i="5"/>
  <c r="AN66" i="5"/>
  <c r="AM66" i="5"/>
  <c r="AM220" i="5"/>
  <c r="AN220" i="5"/>
  <c r="AN463" i="5"/>
  <c r="AM463" i="5"/>
  <c r="AN19" i="5"/>
  <c r="AM19" i="5"/>
  <c r="AN326" i="5"/>
  <c r="AM326" i="5"/>
  <c r="AM216" i="5"/>
  <c r="AN216" i="5"/>
  <c r="AN406" i="5"/>
  <c r="AM406" i="5"/>
  <c r="AM262" i="5"/>
  <c r="AN262" i="5"/>
  <c r="AM498" i="5"/>
  <c r="AN498" i="5"/>
  <c r="AN99" i="5"/>
  <c r="AM99" i="5"/>
  <c r="AN511" i="5"/>
  <c r="AM511" i="5"/>
  <c r="AN440" i="5"/>
  <c r="AM440" i="5"/>
  <c r="AM393" i="5"/>
  <c r="AN393" i="5"/>
  <c r="AM255" i="5"/>
  <c r="AN255" i="5"/>
  <c r="AM182" i="5"/>
  <c r="AN182" i="5"/>
  <c r="AN73" i="5"/>
  <c r="AM73" i="5"/>
  <c r="AN54" i="5"/>
  <c r="AM54" i="5"/>
  <c r="AN295" i="5"/>
  <c r="AM295" i="5"/>
  <c r="AN158" i="5"/>
  <c r="AM158" i="5"/>
  <c r="AN502" i="5"/>
  <c r="AM502" i="5"/>
  <c r="AN105" i="5"/>
  <c r="AM105" i="5"/>
  <c r="AM94" i="5"/>
  <c r="AN94" i="5"/>
  <c r="AN341" i="5"/>
  <c r="AM341" i="5"/>
  <c r="AM81" i="5"/>
  <c r="AN81" i="5"/>
  <c r="AM100" i="5"/>
  <c r="AN100" i="5"/>
  <c r="AN153" i="5"/>
  <c r="AM153" i="5"/>
  <c r="AN512" i="5"/>
  <c r="AM512" i="5"/>
  <c r="AN410" i="5"/>
  <c r="AM410" i="5"/>
  <c r="AM396" i="5"/>
  <c r="AN396" i="5"/>
  <c r="AM46" i="5"/>
  <c r="AN46" i="5"/>
  <c r="AM365" i="5"/>
  <c r="AN365" i="5"/>
  <c r="AN89" i="5"/>
  <c r="AM89" i="5"/>
  <c r="AN96" i="5"/>
  <c r="AM96" i="5"/>
  <c r="AN198" i="5"/>
  <c r="AM198" i="5"/>
  <c r="AN449" i="5"/>
  <c r="AM449" i="5"/>
  <c r="AN460" i="5"/>
  <c r="AM460" i="5"/>
  <c r="AN290" i="5"/>
  <c r="AM290" i="5"/>
  <c r="AM124" i="5"/>
  <c r="AN124" i="5"/>
  <c r="AM509" i="5"/>
  <c r="AN509" i="5"/>
  <c r="AM550" i="5"/>
  <c r="AN550" i="5"/>
  <c r="AN230" i="5"/>
  <c r="AM230" i="5"/>
  <c r="AN113" i="5"/>
  <c r="AM113" i="5"/>
  <c r="AM334" i="5"/>
  <c r="AN334" i="5"/>
  <c r="AM559" i="5"/>
  <c r="AN559" i="5"/>
  <c r="AM481" i="5"/>
  <c r="AN481" i="5"/>
  <c r="AM339" i="5"/>
  <c r="AN339" i="5"/>
  <c r="AM38" i="5"/>
  <c r="AN38" i="5"/>
  <c r="AM127" i="5"/>
  <c r="AN127" i="5"/>
  <c r="AN529" i="5"/>
  <c r="AM529" i="5"/>
  <c r="AM270" i="5"/>
  <c r="AN270" i="5"/>
  <c r="AM212" i="5"/>
  <c r="AN212" i="5"/>
  <c r="AM349" i="5"/>
  <c r="AN349" i="5"/>
  <c r="AM52" i="5"/>
  <c r="AN52" i="5"/>
  <c r="AN152" i="5"/>
  <c r="AM152" i="5"/>
  <c r="AN197" i="5"/>
  <c r="AM197" i="5"/>
  <c r="AN537" i="5"/>
  <c r="AM537" i="5"/>
  <c r="AN53" i="5"/>
  <c r="AM53" i="5"/>
  <c r="AN505" i="5"/>
  <c r="AM505" i="5"/>
  <c r="AN433" i="5"/>
  <c r="AM433" i="5"/>
  <c r="AO460" i="5"/>
  <c r="AO212" i="5"/>
  <c r="AO453" i="5"/>
  <c r="AO151" i="5"/>
  <c r="AO462" i="5"/>
  <c r="AO509" i="5"/>
  <c r="AO409" i="5"/>
  <c r="AO161" i="5"/>
  <c r="AO456" i="5"/>
  <c r="AO511" i="5"/>
  <c r="AO419" i="5"/>
  <c r="AO171" i="5"/>
  <c r="AO458" i="5"/>
  <c r="AO210" i="5"/>
  <c r="AO441" i="5"/>
  <c r="AO452" i="5"/>
  <c r="AO204" i="5"/>
  <c r="AO251" i="5"/>
  <c r="AO474" i="5"/>
  <c r="AO485" i="5"/>
  <c r="AO237" i="5"/>
  <c r="AO532" i="5"/>
  <c r="AO284" i="5"/>
  <c r="AO226" i="5"/>
  <c r="AO518" i="5"/>
  <c r="AO270" i="5"/>
  <c r="AO22" i="5"/>
  <c r="AO317" i="5"/>
  <c r="AO248" i="5"/>
  <c r="AO255" i="5"/>
  <c r="AO103" i="5"/>
  <c r="AO327" i="5"/>
  <c r="AO350" i="5"/>
  <c r="AO548" i="5"/>
  <c r="AO236" i="5"/>
  <c r="AO467" i="5"/>
  <c r="AO434" i="5"/>
  <c r="AO38" i="5"/>
  <c r="AO269" i="5"/>
  <c r="AO500" i="5"/>
  <c r="AO498" i="5"/>
  <c r="AO455" i="5"/>
  <c r="AO302" i="5"/>
  <c r="AO533" i="5"/>
  <c r="AO27" i="5"/>
  <c r="AO32" i="5"/>
  <c r="AO359" i="5"/>
  <c r="AO71" i="5"/>
  <c r="AO91" i="5"/>
  <c r="AO65" i="5"/>
  <c r="AO296" i="5"/>
  <c r="AO9" i="5"/>
  <c r="AO240" i="5"/>
  <c r="AO98" i="5"/>
  <c r="AO329" i="5"/>
  <c r="AO13" i="5"/>
  <c r="AO451" i="5"/>
  <c r="AO139" i="5"/>
  <c r="AO362" i="5"/>
  <c r="AO432" i="5"/>
  <c r="AO141" i="5"/>
  <c r="AO372" i="5"/>
  <c r="AO560" i="5"/>
  <c r="BG502" i="5"/>
  <c r="BL502" i="5" s="1"/>
  <c r="BF502" i="5"/>
  <c r="BK502" i="5" s="1"/>
  <c r="BF191" i="5"/>
  <c r="BK191" i="5" s="1"/>
  <c r="BG191" i="5"/>
  <c r="BL191" i="5" s="1"/>
  <c r="BG436" i="5"/>
  <c r="BL436" i="5" s="1"/>
  <c r="BF436" i="5"/>
  <c r="BK436" i="5" s="1"/>
  <c r="BF323" i="5"/>
  <c r="BK323" i="5" s="1"/>
  <c r="BG323" i="5"/>
  <c r="BL323" i="5" s="1"/>
  <c r="BG342" i="5"/>
  <c r="BL342" i="5" s="1"/>
  <c r="BF342" i="5"/>
  <c r="BK342" i="5" s="1"/>
  <c r="BG527" i="5"/>
  <c r="BL527" i="5" s="1"/>
  <c r="BF527" i="5"/>
  <c r="BK527" i="5" s="1"/>
  <c r="BF370" i="5"/>
  <c r="BK370" i="5" s="1"/>
  <c r="BG370" i="5"/>
  <c r="BL370" i="5" s="1"/>
  <c r="BF249" i="5"/>
  <c r="BK249" i="5" s="1"/>
  <c r="BG249" i="5"/>
  <c r="BL249" i="5" s="1"/>
  <c r="BG371" i="5"/>
  <c r="BL371" i="5" s="1"/>
  <c r="BF371" i="5"/>
  <c r="BK371" i="5" s="1"/>
  <c r="BG443" i="5"/>
  <c r="BL443" i="5" s="1"/>
  <c r="BF443" i="5"/>
  <c r="BK443" i="5" s="1"/>
  <c r="BF296" i="5"/>
  <c r="BK296" i="5" s="1"/>
  <c r="BG296" i="5"/>
  <c r="BL296" i="5" s="1"/>
  <c r="BF147" i="5"/>
  <c r="BK147" i="5" s="1"/>
  <c r="BG147" i="5"/>
  <c r="BL147" i="5" s="1"/>
  <c r="BF220" i="5"/>
  <c r="BK220" i="5" s="1"/>
  <c r="BG220" i="5"/>
  <c r="BL220" i="5" s="1"/>
  <c r="BF486" i="5"/>
  <c r="BK486" i="5" s="1"/>
  <c r="BG486" i="5"/>
  <c r="BL486" i="5" s="1"/>
  <c r="BF413" i="5"/>
  <c r="BK413" i="5" s="1"/>
  <c r="BG413" i="5"/>
  <c r="BL413" i="5" s="1"/>
  <c r="BG295" i="5"/>
  <c r="BL295" i="5" s="1"/>
  <c r="BF295" i="5"/>
  <c r="BK295" i="5" s="1"/>
  <c r="BF464" i="5"/>
  <c r="BK464" i="5" s="1"/>
  <c r="BG464" i="5"/>
  <c r="BL464" i="5" s="1"/>
  <c r="BG84" i="5"/>
  <c r="BL84" i="5" s="1"/>
  <c r="BF84" i="5"/>
  <c r="BK84" i="5" s="1"/>
  <c r="BG175" i="5"/>
  <c r="BL175" i="5" s="1"/>
  <c r="BF175" i="5"/>
  <c r="BK175" i="5" s="1"/>
  <c r="BF257" i="5"/>
  <c r="BK257" i="5" s="1"/>
  <c r="BG257" i="5"/>
  <c r="BL257" i="5" s="1"/>
  <c r="BF327" i="5"/>
  <c r="BK327" i="5" s="1"/>
  <c r="BG327" i="5"/>
  <c r="BL327" i="5" s="1"/>
  <c r="BF446" i="5"/>
  <c r="BK446" i="5" s="1"/>
  <c r="BG446" i="5"/>
  <c r="BL446" i="5" s="1"/>
  <c r="R9" i="5"/>
  <c r="Q9" i="5"/>
  <c r="X9" i="5"/>
  <c r="W9" i="5"/>
  <c r="BF476" i="5"/>
  <c r="BK476" i="5" s="1"/>
  <c r="BG476" i="5"/>
  <c r="BL476" i="5" s="1"/>
  <c r="BF188" i="5"/>
  <c r="BK188" i="5" s="1"/>
  <c r="BG188" i="5"/>
  <c r="BL188" i="5" s="1"/>
  <c r="BF148" i="5"/>
  <c r="BK148" i="5" s="1"/>
  <c r="BG148" i="5"/>
  <c r="BL148" i="5" s="1"/>
  <c r="BF539" i="5"/>
  <c r="BK539" i="5" s="1"/>
  <c r="BG539" i="5"/>
  <c r="BL539" i="5" s="1"/>
  <c r="AN489" i="5"/>
  <c r="AM489" i="5"/>
  <c r="AN553" i="5"/>
  <c r="AM553" i="5"/>
  <c r="AM308" i="5"/>
  <c r="AN308" i="5"/>
  <c r="AN457" i="5"/>
  <c r="AM457" i="5"/>
  <c r="AN8" i="5"/>
  <c r="AM8" i="5"/>
  <c r="AN495" i="5"/>
  <c r="AM495" i="5"/>
  <c r="AN274" i="5"/>
  <c r="AM274" i="5"/>
  <c r="AM143" i="5"/>
  <c r="AN143" i="5"/>
  <c r="AM555" i="5"/>
  <c r="AN555" i="5"/>
  <c r="AN139" i="5"/>
  <c r="AM139" i="5"/>
  <c r="AN62" i="5"/>
  <c r="AM62" i="5"/>
  <c r="AM117" i="5"/>
  <c r="AN117" i="5"/>
  <c r="AN372" i="5"/>
  <c r="AM372" i="5"/>
  <c r="AN557" i="5"/>
  <c r="AM557" i="5"/>
  <c r="AN352" i="5"/>
  <c r="AM352" i="5"/>
  <c r="AN50" i="5"/>
  <c r="AM50" i="5"/>
  <c r="AM213" i="5"/>
  <c r="AN213" i="5"/>
  <c r="AN102" i="5"/>
  <c r="AM102" i="5"/>
  <c r="AN420" i="5"/>
  <c r="AM420" i="5"/>
  <c r="AN171" i="5"/>
  <c r="AM171" i="5"/>
  <c r="AN474" i="5"/>
  <c r="AM474" i="5"/>
  <c r="AN527" i="5"/>
  <c r="AM527" i="5"/>
  <c r="AM441" i="5"/>
  <c r="AN441" i="5"/>
  <c r="AN264" i="5"/>
  <c r="AM264" i="5"/>
  <c r="AN190" i="5"/>
  <c r="AM190" i="5"/>
  <c r="AN106" i="5"/>
  <c r="AM106" i="5"/>
  <c r="AN428" i="5"/>
  <c r="AM428" i="5"/>
  <c r="AN368" i="5"/>
  <c r="AM368" i="5"/>
  <c r="AM140" i="5"/>
  <c r="AN140" i="5"/>
  <c r="AN491" i="5"/>
  <c r="AM491" i="5"/>
  <c r="AM110" i="5"/>
  <c r="AN110" i="5"/>
  <c r="AM166" i="5"/>
  <c r="AN166" i="5"/>
  <c r="AN205" i="5"/>
  <c r="AM205" i="5"/>
  <c r="AN35" i="5"/>
  <c r="AM35" i="5"/>
  <c r="AN159" i="5"/>
  <c r="AM159" i="5"/>
  <c r="AN408" i="5"/>
  <c r="AM408" i="5"/>
  <c r="AM404" i="5"/>
  <c r="AN404" i="5"/>
  <c r="AM508" i="5"/>
  <c r="AN508" i="5"/>
  <c r="AN231" i="5"/>
  <c r="AM231" i="5"/>
  <c r="AN75" i="5"/>
  <c r="AM75" i="5"/>
  <c r="AM165" i="5"/>
  <c r="AN165" i="5"/>
  <c r="AN48" i="5"/>
  <c r="AM48" i="5"/>
  <c r="AM317" i="5"/>
  <c r="AN317" i="5"/>
  <c r="AN208" i="5"/>
  <c r="AM208" i="5"/>
  <c r="AM300" i="5"/>
  <c r="AN300" i="5"/>
  <c r="AN507" i="5"/>
  <c r="AM507" i="5"/>
  <c r="AM340" i="5"/>
  <c r="AN340" i="5"/>
  <c r="AN172" i="5"/>
  <c r="AM172" i="5"/>
  <c r="AN57" i="5"/>
  <c r="AM57" i="5"/>
  <c r="AN254" i="5"/>
  <c r="AM254" i="5"/>
  <c r="AN58" i="5"/>
  <c r="AM58" i="5"/>
  <c r="AN84" i="5"/>
  <c r="AM84" i="5"/>
  <c r="AN356" i="5"/>
  <c r="AM356" i="5"/>
  <c r="AN13" i="5"/>
  <c r="AM13" i="5"/>
  <c r="AM312" i="5"/>
  <c r="AN312" i="5"/>
  <c r="AN298" i="5"/>
  <c r="AM298" i="5"/>
  <c r="AN155" i="5"/>
  <c r="AM155" i="5"/>
  <c r="AM41" i="5"/>
  <c r="AN41" i="5"/>
  <c r="AM337" i="5"/>
  <c r="AN337" i="5"/>
  <c r="AN74" i="5"/>
  <c r="AM74" i="5"/>
  <c r="AM97" i="5"/>
  <c r="AN97" i="5"/>
  <c r="AM318" i="5"/>
  <c r="AN318" i="5"/>
  <c r="AM546" i="5"/>
  <c r="AN546" i="5"/>
  <c r="AN442" i="5"/>
  <c r="AM442" i="5"/>
  <c r="AM20" i="5"/>
  <c r="AN20" i="5"/>
  <c r="AN286" i="5"/>
  <c r="AM286" i="5"/>
  <c r="AM402" i="5"/>
  <c r="AN402" i="5"/>
  <c r="AN412" i="5"/>
  <c r="AM412" i="5"/>
  <c r="AN499" i="5"/>
  <c r="AM499" i="5"/>
  <c r="AO134" i="5"/>
  <c r="AO429" i="5"/>
  <c r="AO181" i="5"/>
  <c r="AO476" i="5"/>
  <c r="AO376" i="5"/>
  <c r="AO128" i="5"/>
  <c r="AO559" i="5"/>
  <c r="AO279" i="5"/>
  <c r="AO478" i="5"/>
  <c r="AO378" i="5"/>
  <c r="AO130" i="5"/>
  <c r="AO425" i="5"/>
  <c r="AO177" i="5"/>
  <c r="AO408" i="5"/>
  <c r="AO388" i="5"/>
  <c r="AO140" i="5"/>
  <c r="AO435" i="5"/>
  <c r="AO187" i="5"/>
  <c r="AO410" i="5"/>
  <c r="AO421" i="5"/>
  <c r="AO173" i="5"/>
  <c r="AO468" i="5"/>
  <c r="AO220" i="5"/>
  <c r="AO257" i="5"/>
  <c r="AO454" i="5"/>
  <c r="AO206" i="5"/>
  <c r="AO501" i="5"/>
  <c r="AO253" i="5"/>
  <c r="AO184" i="5"/>
  <c r="AO439" i="5"/>
  <c r="AO159" i="5"/>
  <c r="AO534" i="5"/>
  <c r="AO286" i="5"/>
  <c r="AO217" i="5"/>
  <c r="AO512" i="5"/>
  <c r="AO264" i="5"/>
  <c r="AO8" i="5"/>
  <c r="AO231" i="5"/>
  <c r="AO517" i="5"/>
  <c r="AO205" i="5"/>
  <c r="AO436" i="5"/>
  <c r="AO529" i="5"/>
  <c r="AO550" i="5"/>
  <c r="AO238" i="5"/>
  <c r="AO469" i="5"/>
  <c r="AO50" i="5"/>
  <c r="AO11" i="5"/>
  <c r="AO415" i="5"/>
  <c r="AO502" i="5"/>
  <c r="AO114" i="5"/>
  <c r="AO544" i="5"/>
  <c r="AO232" i="5"/>
  <c r="AO191" i="5"/>
  <c r="AO135" i="5"/>
  <c r="AO34" i="5"/>
  <c r="AO265" i="5"/>
  <c r="AO143" i="5"/>
  <c r="AO387" i="5"/>
  <c r="AO75" i="5"/>
  <c r="AO298" i="5"/>
  <c r="AO87" i="5"/>
  <c r="AO420" i="5"/>
  <c r="AO108" i="5"/>
  <c r="AO339" i="5"/>
  <c r="AO496" i="5"/>
  <c r="AO110" i="5"/>
  <c r="AO341" i="5"/>
  <c r="AO112" i="5"/>
  <c r="BF138" i="5"/>
  <c r="BK138" i="5" s="1"/>
  <c r="BG138" i="5"/>
  <c r="BL138" i="5" s="1"/>
  <c r="BG427" i="5"/>
  <c r="BL427" i="5" s="1"/>
  <c r="BF427" i="5"/>
  <c r="BK427" i="5" s="1"/>
  <c r="BF524" i="5"/>
  <c r="BK524" i="5" s="1"/>
  <c r="BG524" i="5"/>
  <c r="BL524" i="5" s="1"/>
  <c r="BG490" i="5"/>
  <c r="BL490" i="5" s="1"/>
  <c r="BF490" i="5"/>
  <c r="BK490" i="5" s="1"/>
  <c r="BF339" i="5"/>
  <c r="BK339" i="5" s="1"/>
  <c r="BG339" i="5"/>
  <c r="BL339" i="5" s="1"/>
  <c r="BF500" i="5"/>
  <c r="BK500" i="5" s="1"/>
  <c r="BG500" i="5"/>
  <c r="BL500" i="5" s="1"/>
  <c r="BF38" i="5"/>
  <c r="BK38" i="5" s="1"/>
  <c r="BF61" i="5"/>
  <c r="BK61" i="5" s="1"/>
  <c r="BG61" i="5"/>
  <c r="BL61" i="5" s="1"/>
  <c r="BF491" i="5"/>
  <c r="BK491" i="5" s="1"/>
  <c r="BG491" i="5"/>
  <c r="BL491" i="5" s="1"/>
  <c r="BG520" i="5"/>
  <c r="BL520" i="5" s="1"/>
  <c r="BF520" i="5"/>
  <c r="BK520" i="5" s="1"/>
  <c r="BG313" i="5"/>
  <c r="BL313" i="5" s="1"/>
  <c r="BF313" i="5"/>
  <c r="BK313" i="5" s="1"/>
  <c r="BF227" i="5"/>
  <c r="BK227" i="5" s="1"/>
  <c r="BG227" i="5"/>
  <c r="BL227" i="5" s="1"/>
  <c r="BF322" i="5"/>
  <c r="BK322" i="5" s="1"/>
  <c r="BG322" i="5"/>
  <c r="BL322" i="5" s="1"/>
  <c r="BG189" i="5"/>
  <c r="BL189" i="5" s="1"/>
  <c r="BF189" i="5"/>
  <c r="BK189" i="5" s="1"/>
  <c r="BF154" i="5"/>
  <c r="BK154" i="5" s="1"/>
  <c r="BG154" i="5"/>
  <c r="BL154" i="5" s="1"/>
  <c r="BG118" i="5"/>
  <c r="BL118" i="5" s="1"/>
  <c r="BF118" i="5"/>
  <c r="BK118" i="5" s="1"/>
  <c r="AH9" i="5"/>
  <c r="AG9" i="5"/>
  <c r="U9" i="5"/>
  <c r="T9" i="5"/>
  <c r="BF87" i="5"/>
  <c r="BK87" i="5" s="1"/>
  <c r="BG87" i="5"/>
  <c r="BL87" i="5" s="1"/>
  <c r="BF479" i="5"/>
  <c r="BK479" i="5" s="1"/>
  <c r="BG479" i="5"/>
  <c r="BL479" i="5" s="1"/>
  <c r="AN488" i="5"/>
  <c r="AM488" i="5"/>
  <c r="AN521" i="5"/>
  <c r="AM521" i="5"/>
  <c r="AN232" i="5"/>
  <c r="AM232" i="5"/>
  <c r="AN401" i="5"/>
  <c r="AM401" i="5"/>
  <c r="AN504" i="5"/>
  <c r="AM504" i="5"/>
  <c r="AN249" i="5"/>
  <c r="AM249" i="5"/>
  <c r="AN359" i="5"/>
  <c r="AM359" i="5"/>
  <c r="AM135" i="5"/>
  <c r="AN135" i="5"/>
  <c r="AM366" i="5"/>
  <c r="AN366" i="5"/>
  <c r="AM47" i="5"/>
  <c r="AN47" i="5"/>
  <c r="AM321" i="5"/>
  <c r="AN321" i="5"/>
  <c r="AN83" i="5"/>
  <c r="AM83" i="5"/>
  <c r="AM493" i="5"/>
  <c r="AN493" i="5"/>
  <c r="AM520" i="5"/>
  <c r="AN520" i="5"/>
  <c r="AN126" i="5"/>
  <c r="AM126" i="5"/>
  <c r="AN416" i="5"/>
  <c r="AM416" i="5"/>
  <c r="AM26" i="5"/>
  <c r="AN26" i="5"/>
  <c r="AM458" i="5"/>
  <c r="AN458" i="5"/>
  <c r="AM235" i="5"/>
  <c r="AN235" i="5"/>
  <c r="AN236" i="5"/>
  <c r="AM236" i="5"/>
  <c r="AN515" i="5"/>
  <c r="AM515" i="5"/>
  <c r="AM285" i="5"/>
  <c r="AN285" i="5"/>
  <c r="AN33" i="5"/>
  <c r="AM33" i="5"/>
  <c r="AM141" i="5"/>
  <c r="AN141" i="5"/>
  <c r="AN540" i="5"/>
  <c r="AM540" i="5"/>
  <c r="AM39" i="5"/>
  <c r="AN39" i="5"/>
  <c r="AM98" i="5"/>
  <c r="AN98" i="5"/>
  <c r="AN151" i="5"/>
  <c r="AM151" i="5"/>
  <c r="AM469" i="5"/>
  <c r="AN469" i="5"/>
  <c r="AM193" i="5"/>
  <c r="AN193" i="5"/>
  <c r="AN294" i="5"/>
  <c r="AM294" i="5"/>
  <c r="AN178" i="5"/>
  <c r="AM178" i="5"/>
  <c r="AM353" i="5"/>
  <c r="AN353" i="5"/>
  <c r="AN138" i="5"/>
  <c r="AM138" i="5"/>
  <c r="AN282" i="5"/>
  <c r="AM282" i="5"/>
  <c r="AN456" i="5"/>
  <c r="AM456" i="5"/>
  <c r="AM447" i="5"/>
  <c r="AN447" i="5"/>
  <c r="AN343" i="5"/>
  <c r="AM343" i="5"/>
  <c r="AM207" i="5"/>
  <c r="AN207" i="5"/>
  <c r="AM44" i="5"/>
  <c r="AN44" i="5"/>
  <c r="AN483" i="5"/>
  <c r="AM483" i="5"/>
  <c r="AM55" i="5"/>
  <c r="AN55" i="5"/>
  <c r="AN80" i="5"/>
  <c r="AM80" i="5"/>
  <c r="AM277" i="5"/>
  <c r="AN277" i="5"/>
  <c r="AM380" i="5"/>
  <c r="AN380" i="5"/>
  <c r="AN310" i="5"/>
  <c r="AM310" i="5"/>
  <c r="AM45" i="5"/>
  <c r="AN45" i="5"/>
  <c r="AN468" i="5"/>
  <c r="AM468" i="5"/>
  <c r="AM360" i="5"/>
  <c r="AN360" i="5"/>
  <c r="AM524" i="5"/>
  <c r="AN524" i="5"/>
  <c r="AN217" i="5"/>
  <c r="AM217" i="5"/>
  <c r="AM451" i="5"/>
  <c r="AN451" i="5"/>
  <c r="AM531" i="5"/>
  <c r="AN531" i="5"/>
  <c r="AM516" i="5"/>
  <c r="AN516" i="5"/>
  <c r="AM280" i="5"/>
  <c r="AN280" i="5"/>
  <c r="AN214" i="5"/>
  <c r="AM214" i="5"/>
  <c r="AM437" i="5"/>
  <c r="AN437" i="5"/>
  <c r="AM103" i="5"/>
  <c r="AN103" i="5"/>
  <c r="AM90" i="5"/>
  <c r="AN90" i="5"/>
  <c r="AM448" i="5"/>
  <c r="AN448" i="5"/>
  <c r="AM331" i="5"/>
  <c r="AN331" i="5"/>
  <c r="AN78" i="5"/>
  <c r="AM78" i="5"/>
  <c r="AM167" i="5"/>
  <c r="AN167" i="5"/>
  <c r="AN338" i="5"/>
  <c r="AM338" i="5"/>
  <c r="AM131" i="5"/>
  <c r="AN131" i="5"/>
  <c r="AN174" i="5"/>
  <c r="AM174" i="5"/>
  <c r="AM383" i="5"/>
  <c r="AN383" i="5"/>
  <c r="AN545" i="5"/>
  <c r="AM545" i="5"/>
  <c r="AO207" i="5"/>
  <c r="AO398" i="5"/>
  <c r="AO150" i="5"/>
  <c r="AO445" i="5"/>
  <c r="AO345" i="5"/>
  <c r="AO97" i="5"/>
  <c r="AO392" i="5"/>
  <c r="AO144" i="5"/>
  <c r="AO119" i="5"/>
  <c r="AO355" i="5"/>
  <c r="AO107" i="5"/>
  <c r="AO394" i="5"/>
  <c r="AO146" i="5"/>
  <c r="AO377" i="5"/>
  <c r="AO357" i="5"/>
  <c r="AO109" i="5"/>
  <c r="AO404" i="5"/>
  <c r="AO156" i="5"/>
  <c r="AO288" i="5"/>
  <c r="AO390" i="5"/>
  <c r="AO142" i="5"/>
  <c r="AO437" i="5"/>
  <c r="AO189" i="5"/>
  <c r="AO120" i="5"/>
  <c r="AO495" i="5"/>
  <c r="AO215" i="5"/>
  <c r="AO470" i="5"/>
  <c r="AO222" i="5"/>
  <c r="AO153" i="5"/>
  <c r="AO448" i="5"/>
  <c r="AO200" i="5"/>
  <c r="AO447" i="5"/>
  <c r="AO287" i="5"/>
  <c r="AO186" i="5"/>
  <c r="AO481" i="5"/>
  <c r="AO233" i="5"/>
  <c r="AO528" i="5"/>
  <c r="AO216" i="5"/>
  <c r="AO486" i="5"/>
  <c r="AO174" i="5"/>
  <c r="AO405" i="5"/>
  <c r="AO81" i="5"/>
  <c r="AO63" i="5"/>
  <c r="AO471" i="5"/>
  <c r="AO438" i="5"/>
  <c r="AO145" i="5"/>
  <c r="AO480" i="5"/>
  <c r="AO168" i="5"/>
  <c r="AO311" i="5"/>
  <c r="AO62" i="5"/>
  <c r="AO513" i="5"/>
  <c r="AO201" i="5"/>
  <c r="AO126" i="5"/>
  <c r="AO323" i="5"/>
  <c r="AO546" i="5"/>
  <c r="AO234" i="5"/>
  <c r="AO190" i="5"/>
  <c r="AO356" i="5"/>
  <c r="AO44" i="5"/>
  <c r="AO275" i="5"/>
  <c r="AO31" i="5"/>
  <c r="AO389" i="5"/>
  <c r="AO77" i="5"/>
  <c r="AO308" i="5"/>
  <c r="AO48" i="5"/>
  <c r="AO519" i="5"/>
  <c r="AO310" i="5"/>
  <c r="AO431" i="5"/>
  <c r="BG8" i="5"/>
  <c r="BL8" i="5" s="1"/>
  <c r="BF8" i="5"/>
  <c r="BK8" i="5" s="1"/>
  <c r="BF10" i="5"/>
  <c r="BK10" i="5" s="1"/>
  <c r="BG10" i="5"/>
  <c r="BL10" i="5" s="1"/>
  <c r="BG304" i="5"/>
  <c r="BL304" i="5" s="1"/>
  <c r="BF304" i="5"/>
  <c r="BK304" i="5" s="1"/>
  <c r="BG13" i="5"/>
  <c r="BL13" i="5" s="1"/>
  <c r="BF13" i="5"/>
  <c r="BK13" i="5" s="1"/>
  <c r="BF284" i="5"/>
  <c r="BK284" i="5" s="1"/>
  <c r="BG284" i="5"/>
  <c r="BL284" i="5" s="1"/>
  <c r="BG407" i="5"/>
  <c r="BL407" i="5" s="1"/>
  <c r="BF407" i="5"/>
  <c r="BK407" i="5" s="1"/>
  <c r="BG89" i="5"/>
  <c r="BL89" i="5" s="1"/>
  <c r="BF89" i="5"/>
  <c r="BK89" i="5" s="1"/>
  <c r="BF311" i="5"/>
  <c r="BK311" i="5" s="1"/>
  <c r="BG311" i="5"/>
  <c r="BL311" i="5" s="1"/>
  <c r="BG396" i="5"/>
  <c r="BL396" i="5" s="1"/>
  <c r="BF396" i="5"/>
  <c r="BK396" i="5" s="1"/>
  <c r="BF369" i="5"/>
  <c r="BK369" i="5" s="1"/>
  <c r="BG369" i="5"/>
  <c r="BL369" i="5" s="1"/>
  <c r="BG432" i="5"/>
  <c r="BL432" i="5" s="1"/>
  <c r="BF432" i="5"/>
  <c r="BK432" i="5" s="1"/>
  <c r="BF477" i="5"/>
  <c r="BK477" i="5" s="1"/>
  <c r="BG477" i="5"/>
  <c r="BL477" i="5" s="1"/>
  <c r="BF474" i="5"/>
  <c r="BK474" i="5" s="1"/>
  <c r="BG474" i="5"/>
  <c r="BL474" i="5" s="1"/>
  <c r="BG544" i="5"/>
  <c r="BL544" i="5" s="1"/>
  <c r="BF544" i="5"/>
  <c r="BK544" i="5" s="1"/>
  <c r="BF298" i="5"/>
  <c r="BK298" i="5" s="1"/>
  <c r="BG298" i="5"/>
  <c r="BL298" i="5" s="1"/>
  <c r="BF440" i="5"/>
  <c r="BK440" i="5" s="1"/>
  <c r="BG440" i="5"/>
  <c r="BL440" i="5" s="1"/>
  <c r="BF418" i="5"/>
  <c r="BK418" i="5" s="1"/>
  <c r="BG418" i="5"/>
  <c r="BL418" i="5" s="1"/>
  <c r="BF159" i="5"/>
  <c r="BK159" i="5" s="1"/>
  <c r="BG159" i="5"/>
  <c r="BL159" i="5" s="1"/>
  <c r="BF90" i="5"/>
  <c r="BK90" i="5" s="1"/>
  <c r="BG90" i="5"/>
  <c r="BL90" i="5" s="1"/>
  <c r="BG445" i="5"/>
  <c r="BL445" i="5" s="1"/>
  <c r="BF445" i="5"/>
  <c r="BK445" i="5" s="1"/>
  <c r="BG104" i="5"/>
  <c r="BL104" i="5" s="1"/>
  <c r="BF104" i="5"/>
  <c r="BK104" i="5" s="1"/>
  <c r="AK9" i="5"/>
  <c r="AJ9" i="5"/>
  <c r="BF312" i="5"/>
  <c r="BK312" i="5" s="1"/>
  <c r="BG312" i="5"/>
  <c r="BL312" i="5" s="1"/>
  <c r="AM328" i="5"/>
  <c r="AN328" i="5"/>
  <c r="AM355" i="5"/>
  <c r="AN355" i="5"/>
  <c r="AN484" i="5"/>
  <c r="AM484" i="5"/>
  <c r="AN296" i="5"/>
  <c r="AM296" i="5"/>
  <c r="AM522" i="5"/>
  <c r="AN522" i="5"/>
  <c r="AN443" i="5"/>
  <c r="AM443" i="5"/>
  <c r="AM364" i="5"/>
  <c r="AN364" i="5"/>
  <c r="AM115" i="5"/>
  <c r="AN115" i="5"/>
  <c r="AM202" i="5"/>
  <c r="AN202" i="5"/>
  <c r="AN413" i="5"/>
  <c r="AM413" i="5"/>
  <c r="AM63" i="5"/>
  <c r="AN63" i="5"/>
  <c r="AM245" i="5"/>
  <c r="AN245" i="5"/>
  <c r="AN389" i="5"/>
  <c r="AM389" i="5"/>
  <c r="AM470" i="5"/>
  <c r="AN470" i="5"/>
  <c r="AM242" i="5"/>
  <c r="AN242" i="5"/>
  <c r="AM121" i="5"/>
  <c r="AN121" i="5"/>
  <c r="AM548" i="5"/>
  <c r="AN548" i="5"/>
  <c r="AM191" i="5"/>
  <c r="AN191" i="5"/>
  <c r="AM29" i="5"/>
  <c r="AN29" i="5"/>
  <c r="AM125" i="5"/>
  <c r="AN125" i="5"/>
  <c r="AM387" i="5"/>
  <c r="AN387" i="5"/>
  <c r="AN549" i="5"/>
  <c r="AM549" i="5"/>
  <c r="AM490" i="5"/>
  <c r="AN490" i="5"/>
  <c r="AN222" i="5"/>
  <c r="AM222" i="5"/>
  <c r="AN164" i="5"/>
  <c r="AM164" i="5"/>
  <c r="AN238" i="5"/>
  <c r="AM238" i="5"/>
  <c r="AN65" i="5"/>
  <c r="AM65" i="5"/>
  <c r="AN133" i="5"/>
  <c r="AM133" i="5"/>
  <c r="AN375" i="5"/>
  <c r="AM375" i="5"/>
  <c r="AN394" i="5"/>
  <c r="AM394" i="5"/>
  <c r="AN201" i="5"/>
  <c r="AM201" i="5"/>
  <c r="AN111" i="5"/>
  <c r="AM111" i="5"/>
  <c r="AM69" i="5"/>
  <c r="AN69" i="5"/>
  <c r="AN227" i="5"/>
  <c r="AM227" i="5"/>
  <c r="AN87" i="5"/>
  <c r="AM87" i="5"/>
  <c r="AM275" i="5"/>
  <c r="AN275" i="5"/>
  <c r="AN541" i="5"/>
  <c r="AM541" i="5"/>
  <c r="AN415" i="5"/>
  <c r="AM415" i="5"/>
  <c r="AN391" i="5"/>
  <c r="AM391" i="5"/>
  <c r="AM558" i="5"/>
  <c r="AN558" i="5"/>
  <c r="AM425" i="5"/>
  <c r="AN425" i="5"/>
  <c r="AN34" i="5"/>
  <c r="AM34" i="5"/>
  <c r="AN542" i="5"/>
  <c r="AM542" i="5"/>
  <c r="AN192" i="5"/>
  <c r="AM192" i="5"/>
  <c r="AM292" i="5"/>
  <c r="AN292" i="5"/>
  <c r="AM467" i="5"/>
  <c r="AN467" i="5"/>
  <c r="AN195" i="5"/>
  <c r="AM195" i="5"/>
  <c r="AN28" i="5"/>
  <c r="AM28" i="5"/>
  <c r="AN240" i="5"/>
  <c r="AM240" i="5"/>
  <c r="AN32" i="5"/>
  <c r="AM32" i="5"/>
  <c r="AN221" i="5"/>
  <c r="AM221" i="5"/>
  <c r="AM211" i="5"/>
  <c r="AN211" i="5"/>
  <c r="AN327" i="5"/>
  <c r="AM327" i="5"/>
  <c r="AM492" i="5"/>
  <c r="AN492" i="5"/>
  <c r="AM395" i="5"/>
  <c r="AN395" i="5"/>
  <c r="AN150" i="5"/>
  <c r="AM150" i="5"/>
  <c r="AM218" i="5"/>
  <c r="AN218" i="5"/>
  <c r="AN144" i="5"/>
  <c r="AM144" i="5"/>
  <c r="AN525" i="5"/>
  <c r="AM525" i="5"/>
  <c r="AM259" i="5"/>
  <c r="AN259" i="5"/>
  <c r="AN496" i="5"/>
  <c r="AM496" i="5"/>
  <c r="AN432" i="5"/>
  <c r="AM432" i="5"/>
  <c r="AN147" i="5"/>
  <c r="AM147" i="5"/>
  <c r="AM64" i="5"/>
  <c r="AN64" i="5"/>
  <c r="AN266" i="5"/>
  <c r="AM266" i="5"/>
  <c r="AM70" i="5"/>
  <c r="AN70" i="5"/>
  <c r="AN116" i="5"/>
  <c r="AM116" i="5"/>
  <c r="AM370" i="5"/>
  <c r="AN370" i="5"/>
  <c r="AO312" i="5"/>
  <c r="AO64" i="5"/>
  <c r="AO47" i="5"/>
  <c r="AO335" i="5"/>
  <c r="AO414" i="5"/>
  <c r="AO314" i="5"/>
  <c r="AO66" i="5"/>
  <c r="AO361" i="5"/>
  <c r="AO113" i="5"/>
  <c r="AO344" i="5"/>
  <c r="AO324" i="5"/>
  <c r="AO76" i="5"/>
  <c r="AO371" i="5"/>
  <c r="AO123" i="5"/>
  <c r="AO346" i="5"/>
  <c r="AO326" i="5"/>
  <c r="AO78" i="5"/>
  <c r="AO373" i="5"/>
  <c r="AO125" i="5"/>
  <c r="AO56" i="5"/>
  <c r="AO551" i="5"/>
  <c r="AO271" i="5"/>
  <c r="AO406" i="5"/>
  <c r="AO158" i="5"/>
  <c r="AO89" i="5"/>
  <c r="AO384" i="5"/>
  <c r="AO136" i="5"/>
  <c r="AO55" i="5"/>
  <c r="AO343" i="5"/>
  <c r="AO122" i="5"/>
  <c r="AO417" i="5"/>
  <c r="AO169" i="5"/>
  <c r="AO464" i="5"/>
  <c r="AO152" i="5"/>
  <c r="AO163" i="5"/>
  <c r="AO450" i="5"/>
  <c r="AO202" i="5"/>
  <c r="AO497" i="5"/>
  <c r="AO185" i="5"/>
  <c r="AO183" i="5"/>
  <c r="AO527" i="5"/>
  <c r="AO374" i="5"/>
  <c r="AO176" i="5"/>
  <c r="AO416" i="5"/>
  <c r="AO104" i="5"/>
  <c r="AO367" i="5"/>
  <c r="AO93" i="5"/>
  <c r="AO449" i="5"/>
  <c r="AO137" i="5"/>
  <c r="AO157" i="5"/>
  <c r="AO259" i="5"/>
  <c r="AO482" i="5"/>
  <c r="AO170" i="5"/>
  <c r="AO221" i="5"/>
  <c r="AO292" i="5"/>
  <c r="AO523" i="5"/>
  <c r="AO211" i="5"/>
  <c r="AO254" i="5"/>
  <c r="AO325" i="5"/>
  <c r="AO556" i="5"/>
  <c r="AO244" i="5"/>
  <c r="AO543" i="5"/>
  <c r="AO358" i="5"/>
  <c r="AO46" i="5"/>
  <c r="AO277" i="5"/>
  <c r="AO487" i="5"/>
  <c r="AO10" i="5"/>
  <c r="AO479" i="5"/>
  <c r="AO510" i="5"/>
  <c r="BF559" i="5"/>
  <c r="BK559" i="5" s="1"/>
  <c r="BG559" i="5"/>
  <c r="BL559" i="5" s="1"/>
  <c r="BG421" i="5"/>
  <c r="BL421" i="5" s="1"/>
  <c r="BF421" i="5"/>
  <c r="BK421" i="5" s="1"/>
  <c r="BF46" i="5"/>
  <c r="BK46" i="5" s="1"/>
  <c r="BG46" i="5"/>
  <c r="BL46" i="5" s="1"/>
  <c r="BG347" i="5"/>
  <c r="BL347" i="5" s="1"/>
  <c r="BF347" i="5"/>
  <c r="BK347" i="5" s="1"/>
  <c r="BF466" i="5"/>
  <c r="BK466" i="5" s="1"/>
  <c r="BG466" i="5"/>
  <c r="BL466" i="5" s="1"/>
  <c r="BG533" i="5"/>
  <c r="BL533" i="5" s="1"/>
  <c r="BF533" i="5"/>
  <c r="BK533" i="5" s="1"/>
  <c r="BF348" i="5"/>
  <c r="BK348" i="5" s="1"/>
  <c r="BG348" i="5"/>
  <c r="BL348" i="5" s="1"/>
  <c r="BG117" i="5"/>
  <c r="BL117" i="5" s="1"/>
  <c r="BF117" i="5"/>
  <c r="BK117" i="5" s="1"/>
  <c r="BF338" i="5"/>
  <c r="BK338" i="5" s="1"/>
  <c r="BG338" i="5"/>
  <c r="BL338" i="5" s="1"/>
  <c r="BG285" i="5"/>
  <c r="BL285" i="5" s="1"/>
  <c r="BF285" i="5"/>
  <c r="BK285" i="5" s="1"/>
  <c r="BF481" i="5"/>
  <c r="BK481" i="5" s="1"/>
  <c r="BG481" i="5"/>
  <c r="BL481" i="5" s="1"/>
  <c r="BF306" i="5"/>
  <c r="BK306" i="5" s="1"/>
  <c r="BG306" i="5"/>
  <c r="BL306" i="5" s="1"/>
  <c r="BG360" i="5"/>
  <c r="BL360" i="5" s="1"/>
  <c r="BF360" i="5"/>
  <c r="BK360" i="5" s="1"/>
  <c r="BG485" i="5"/>
  <c r="BL485" i="5" s="1"/>
  <c r="BF485" i="5"/>
  <c r="BK485" i="5" s="1"/>
  <c r="BF361" i="5"/>
  <c r="BK361" i="5" s="1"/>
  <c r="BG361" i="5"/>
  <c r="BL361" i="5" s="1"/>
  <c r="BF452" i="5"/>
  <c r="BK452" i="5" s="1"/>
  <c r="BG452" i="5"/>
  <c r="BL452" i="5" s="1"/>
  <c r="BG317" i="5"/>
  <c r="BL317" i="5" s="1"/>
  <c r="BF317" i="5"/>
  <c r="BK317" i="5" s="1"/>
  <c r="BA9" i="5"/>
  <c r="AZ9" i="5"/>
  <c r="BF201" i="5"/>
  <c r="BK201" i="5" s="1"/>
  <c r="BG201" i="5"/>
  <c r="BL201" i="5" s="1"/>
  <c r="BG460" i="5"/>
  <c r="BL460" i="5" s="1"/>
  <c r="BF460" i="5"/>
  <c r="BK460" i="5" s="1"/>
  <c r="BF363" i="5"/>
  <c r="BK363" i="5" s="1"/>
  <c r="BG363" i="5"/>
  <c r="BL363" i="5" s="1"/>
  <c r="BG186" i="5"/>
  <c r="BL186" i="5" s="1"/>
  <c r="BF186" i="5"/>
  <c r="BK186" i="5" s="1"/>
  <c r="BG534" i="5"/>
  <c r="BL534" i="5" s="1"/>
  <c r="BF534" i="5"/>
  <c r="BK534" i="5" s="1"/>
  <c r="BF275" i="5"/>
  <c r="BK275" i="5" s="1"/>
  <c r="BG275" i="5"/>
  <c r="BL275" i="5" s="1"/>
  <c r="AN472" i="5"/>
  <c r="AM472" i="5"/>
  <c r="AM371" i="5"/>
  <c r="AN371" i="5"/>
  <c r="AN501" i="5"/>
  <c r="AM501" i="5"/>
  <c r="AN12" i="5"/>
  <c r="AM12" i="5"/>
  <c r="AM426" i="5"/>
  <c r="AN426" i="5"/>
  <c r="AN424" i="5"/>
  <c r="AM424" i="5"/>
  <c r="AN253" i="5"/>
  <c r="AM253" i="5"/>
  <c r="AM148" i="5"/>
  <c r="AN148" i="5"/>
  <c r="AM59" i="5"/>
  <c r="AN59" i="5"/>
  <c r="AN250" i="5"/>
  <c r="AM250" i="5"/>
  <c r="AM252" i="5"/>
  <c r="AN252" i="5"/>
  <c r="AM145" i="5"/>
  <c r="AN145" i="5"/>
  <c r="AM397" i="5"/>
  <c r="AN397" i="5"/>
  <c r="AM446" i="5"/>
  <c r="AN446" i="5"/>
  <c r="AN265" i="5"/>
  <c r="AM265" i="5"/>
  <c r="AN179" i="5"/>
  <c r="AM179" i="5"/>
  <c r="AM210" i="5"/>
  <c r="AN210" i="5"/>
  <c r="AN60" i="5"/>
  <c r="AM60" i="5"/>
  <c r="AN384" i="5"/>
  <c r="AM384" i="5"/>
  <c r="AM85" i="5"/>
  <c r="AN85" i="5"/>
  <c r="AN497" i="5"/>
  <c r="AM497" i="5"/>
  <c r="AN464" i="5"/>
  <c r="AM464" i="5"/>
  <c r="AM272" i="5"/>
  <c r="AN272" i="5"/>
  <c r="AM185" i="5"/>
  <c r="AN185" i="5"/>
  <c r="AN444" i="5"/>
  <c r="AM444" i="5"/>
  <c r="AN123" i="5"/>
  <c r="AM123" i="5"/>
  <c r="AN325" i="5"/>
  <c r="AM325" i="5"/>
  <c r="AN114" i="5"/>
  <c r="AM114" i="5"/>
  <c r="AN279" i="5"/>
  <c r="AM279" i="5"/>
  <c r="AN452" i="5"/>
  <c r="AM452" i="5"/>
  <c r="AN223" i="5"/>
  <c r="AM223" i="5"/>
  <c r="AN68" i="5"/>
  <c r="AM68" i="5"/>
  <c r="AN390" i="5"/>
  <c r="AM390" i="5"/>
  <c r="AN169" i="5"/>
  <c r="AM169" i="5"/>
  <c r="AN71" i="5"/>
  <c r="AM71" i="5"/>
  <c r="AM323" i="5"/>
  <c r="AN323" i="5"/>
  <c r="AN427" i="5"/>
  <c r="AM427" i="5"/>
  <c r="AM411" i="5"/>
  <c r="AN411" i="5"/>
  <c r="AN31" i="5"/>
  <c r="AM31" i="5"/>
  <c r="AM187" i="5"/>
  <c r="AN187" i="5"/>
  <c r="AN263" i="5"/>
  <c r="AM263" i="5"/>
  <c r="AN79" i="5"/>
  <c r="AM79" i="5"/>
  <c r="AM237" i="5"/>
  <c r="AN237" i="5"/>
  <c r="AN423" i="5"/>
  <c r="AM423" i="5"/>
  <c r="AM405" i="5"/>
  <c r="AN405" i="5"/>
  <c r="AM388" i="5"/>
  <c r="AN388" i="5"/>
  <c r="AM332" i="5"/>
  <c r="AN332" i="5"/>
  <c r="AN200" i="5"/>
  <c r="AM200" i="5"/>
  <c r="AM24" i="5"/>
  <c r="AN24" i="5"/>
  <c r="AM305" i="5"/>
  <c r="AN305" i="5"/>
  <c r="AN258" i="5"/>
  <c r="AM258" i="5"/>
  <c r="AN88" i="5"/>
  <c r="AM88" i="5"/>
  <c r="AN297" i="5"/>
  <c r="AM297" i="5"/>
  <c r="AM526" i="5"/>
  <c r="AN526" i="5"/>
  <c r="AM287" i="5"/>
  <c r="AN287" i="5"/>
  <c r="AM109" i="5"/>
  <c r="AN109" i="5"/>
  <c r="AM278" i="5"/>
  <c r="AN278" i="5"/>
  <c r="AM177" i="5"/>
  <c r="AN177" i="5"/>
  <c r="AN479" i="5"/>
  <c r="AM479" i="5"/>
  <c r="AM289" i="5"/>
  <c r="AN289" i="5"/>
  <c r="AM381" i="5"/>
  <c r="AN381" i="5"/>
  <c r="AM494" i="5"/>
  <c r="AN494" i="5"/>
  <c r="AM229" i="5"/>
  <c r="AN229" i="5"/>
  <c r="AM414" i="5"/>
  <c r="AN414" i="5"/>
  <c r="AN129" i="5"/>
  <c r="AM129" i="5"/>
  <c r="AN422" i="5"/>
  <c r="AM422" i="5"/>
  <c r="AN400" i="5"/>
  <c r="AM400" i="5"/>
  <c r="AN486" i="5"/>
  <c r="AM486" i="5"/>
  <c r="AO281" i="5"/>
  <c r="AO33" i="5"/>
  <c r="AO328" i="5"/>
  <c r="AO80" i="5"/>
  <c r="AO175" i="5"/>
  <c r="AO291" i="5"/>
  <c r="AO43" i="5"/>
  <c r="AO330" i="5"/>
  <c r="AO82" i="5"/>
  <c r="AO313" i="5"/>
  <c r="AO293" i="5"/>
  <c r="AO45" i="5"/>
  <c r="AO340" i="5"/>
  <c r="AO92" i="5"/>
  <c r="AO239" i="5"/>
  <c r="AO39" i="5"/>
  <c r="AO263" i="5"/>
  <c r="AO342" i="5"/>
  <c r="AO94" i="5"/>
  <c r="AO25" i="5"/>
  <c r="AO320" i="5"/>
  <c r="AO72" i="5"/>
  <c r="AO111" i="5"/>
  <c r="AO399" i="5"/>
  <c r="AO58" i="5"/>
  <c r="AO353" i="5"/>
  <c r="AO105" i="5"/>
  <c r="AO400" i="5"/>
  <c r="AO88" i="5"/>
  <c r="AO99" i="5"/>
  <c r="AO386" i="5"/>
  <c r="AO138" i="5"/>
  <c r="AO433" i="5"/>
  <c r="AO121" i="5"/>
  <c r="AO132" i="5"/>
  <c r="AO427" i="5"/>
  <c r="AO179" i="5"/>
  <c r="AO466" i="5"/>
  <c r="AO154" i="5"/>
  <c r="AO352" i="5"/>
  <c r="AO40" i="5"/>
  <c r="AO423" i="5"/>
  <c r="AO375" i="5"/>
  <c r="AO385" i="5"/>
  <c r="AO73" i="5"/>
  <c r="AO188" i="5"/>
  <c r="AO195" i="5"/>
  <c r="AO418" i="5"/>
  <c r="AO106" i="5"/>
  <c r="AO252" i="5"/>
  <c r="AO228" i="5"/>
  <c r="AO459" i="5"/>
  <c r="AO147" i="5"/>
  <c r="AO285" i="5"/>
  <c r="AO261" i="5"/>
  <c r="AO492" i="5"/>
  <c r="AO180" i="5"/>
  <c r="AO318" i="5"/>
  <c r="AO294" i="5"/>
  <c r="AO525" i="5"/>
  <c r="AO213" i="5"/>
  <c r="AO382" i="5"/>
  <c r="AO295" i="5"/>
  <c r="AO558" i="5"/>
  <c r="AO246" i="5"/>
  <c r="AO446" i="5"/>
  <c r="AO488" i="5"/>
  <c r="AO242" i="5"/>
  <c r="AO209" i="5"/>
  <c r="BF12" i="5"/>
  <c r="BK12" i="5" s="1"/>
  <c r="BG12" i="5"/>
  <c r="BL12" i="5" s="1"/>
  <c r="O7" i="5"/>
  <c r="R7" i="5"/>
  <c r="BG160" i="5" l="1"/>
  <c r="BL160" i="5" s="1"/>
  <c r="BG320" i="5"/>
  <c r="BL320" i="5" s="1"/>
  <c r="BG197" i="5"/>
  <c r="BL197" i="5" s="1"/>
  <c r="BF384" i="5"/>
  <c r="BK384" i="5" s="1"/>
  <c r="BF74" i="5"/>
  <c r="BK74" i="5" s="1"/>
  <c r="BG549" i="5"/>
  <c r="BL549" i="5" s="1"/>
  <c r="BG215" i="5"/>
  <c r="BL215" i="5" s="1"/>
  <c r="BG388" i="5"/>
  <c r="BL388" i="5" s="1"/>
  <c r="BG245" i="5"/>
  <c r="BL245" i="5" s="1"/>
  <c r="BF468" i="5"/>
  <c r="BK468" i="5" s="1"/>
  <c r="BN468" i="5" s="1"/>
  <c r="BO468" i="5" s="1"/>
  <c r="BG456" i="5"/>
  <c r="BL456" i="5" s="1"/>
  <c r="BG244" i="5"/>
  <c r="BL244" i="5" s="1"/>
  <c r="BE9" i="5"/>
  <c r="BG9" i="5" s="1"/>
  <c r="BL9" i="5" s="1"/>
  <c r="BG59" i="5"/>
  <c r="BL59" i="5" s="1"/>
  <c r="BG110" i="5"/>
  <c r="BL110" i="5" s="1"/>
  <c r="BF516" i="5"/>
  <c r="BK516" i="5" s="1"/>
  <c r="BG176" i="5"/>
  <c r="BL176" i="5" s="1"/>
  <c r="BG44" i="5"/>
  <c r="BL44" i="5" s="1"/>
  <c r="BF518" i="5"/>
  <c r="BK518" i="5" s="1"/>
  <c r="BN518" i="5" s="1"/>
  <c r="BO518" i="5" s="1"/>
  <c r="BF358" i="5"/>
  <c r="BK358" i="5" s="1"/>
  <c r="BN358" i="5" s="1"/>
  <c r="BO358" i="5" s="1"/>
  <c r="BF441" i="5"/>
  <c r="BK441" i="5" s="1"/>
  <c r="BN441" i="5" s="1"/>
  <c r="BO441" i="5" s="1"/>
  <c r="BG146" i="5"/>
  <c r="BL146" i="5" s="1"/>
  <c r="BF297" i="5"/>
  <c r="BK297" i="5" s="1"/>
  <c r="BN297" i="5" s="1"/>
  <c r="BO297" i="5" s="1"/>
  <c r="BF383" i="5"/>
  <c r="BK383" i="5" s="1"/>
  <c r="BN383" i="5" s="1"/>
  <c r="BO383" i="5" s="1"/>
  <c r="BF316" i="5"/>
  <c r="BK316" i="5" s="1"/>
  <c r="BN316" i="5" s="1"/>
  <c r="BO316" i="5" s="1"/>
  <c r="BG269" i="5"/>
  <c r="BL269" i="5" s="1"/>
  <c r="BG225" i="5"/>
  <c r="BL225" i="5" s="1"/>
  <c r="BF19" i="5"/>
  <c r="BK19" i="5" s="1"/>
  <c r="BG222" i="5"/>
  <c r="BL222" i="5" s="1"/>
  <c r="BG555" i="5"/>
  <c r="BL555" i="5" s="1"/>
  <c r="BG41" i="5"/>
  <c r="BL41" i="5" s="1"/>
  <c r="BG378" i="5"/>
  <c r="BL378" i="5" s="1"/>
  <c r="BG333" i="5"/>
  <c r="BL333" i="5" s="1"/>
  <c r="BF194" i="5"/>
  <c r="BK194" i="5" s="1"/>
  <c r="BN193" i="5" s="1"/>
  <c r="BO193" i="5" s="1"/>
  <c r="BG200" i="5"/>
  <c r="BL200" i="5" s="1"/>
  <c r="BF438" i="5"/>
  <c r="BK438" i="5" s="1"/>
  <c r="BF69" i="5"/>
  <c r="BK69" i="5" s="1"/>
  <c r="BN69" i="5" s="1"/>
  <c r="BO69" i="5" s="1"/>
  <c r="BF226" i="5"/>
  <c r="BK226" i="5" s="1"/>
  <c r="BN225" i="5" s="1"/>
  <c r="BO225" i="5" s="1"/>
  <c r="BF515" i="5"/>
  <c r="BK515" i="5" s="1"/>
  <c r="BG540" i="5"/>
  <c r="BL540" i="5" s="1"/>
  <c r="BG100" i="5"/>
  <c r="BL100" i="5" s="1"/>
  <c r="BF135" i="5"/>
  <c r="BK135" i="5" s="1"/>
  <c r="BN134" i="5" s="1"/>
  <c r="BO134" i="5" s="1"/>
  <c r="BF350" i="5"/>
  <c r="BK350" i="5" s="1"/>
  <c r="BN350" i="5" s="1"/>
  <c r="BO350" i="5" s="1"/>
  <c r="BG385" i="5"/>
  <c r="BL385" i="5" s="1"/>
  <c r="BG85" i="5"/>
  <c r="BL85" i="5" s="1"/>
  <c r="BG419" i="5"/>
  <c r="BL419" i="5" s="1"/>
  <c r="BG337" i="5"/>
  <c r="BL337" i="5" s="1"/>
  <c r="BG309" i="5"/>
  <c r="BL309" i="5" s="1"/>
  <c r="BG261" i="5"/>
  <c r="BL261" i="5" s="1"/>
  <c r="BF114" i="5"/>
  <c r="BK114" i="5" s="1"/>
  <c r="BF318" i="5"/>
  <c r="BK318" i="5" s="1"/>
  <c r="BN318" i="5" s="1"/>
  <c r="BO318" i="5" s="1"/>
  <c r="BF132" i="5"/>
  <c r="BK132" i="5" s="1"/>
  <c r="BN131" i="5" s="1"/>
  <c r="BO131" i="5" s="1"/>
  <c r="BG473" i="5"/>
  <c r="BL473" i="5" s="1"/>
  <c r="BF380" i="5"/>
  <c r="BK380" i="5" s="1"/>
  <c r="BN379" i="5" s="1"/>
  <c r="BO379" i="5" s="1"/>
  <c r="BG171" i="5"/>
  <c r="BL171" i="5" s="1"/>
  <c r="BF42" i="5"/>
  <c r="BK42" i="5" s="1"/>
  <c r="BN41" i="5" s="1"/>
  <c r="BO41" i="5" s="1"/>
  <c r="BF437" i="5"/>
  <c r="BK437" i="5" s="1"/>
  <c r="BG444" i="5"/>
  <c r="BL444" i="5" s="1"/>
  <c r="BF392" i="5"/>
  <c r="BK392" i="5" s="1"/>
  <c r="BN392" i="5" s="1"/>
  <c r="BO392" i="5" s="1"/>
  <c r="BG144" i="5"/>
  <c r="BL144" i="5" s="1"/>
  <c r="AQ256" i="5"/>
  <c r="BG471" i="5"/>
  <c r="BL471" i="5" s="1"/>
  <c r="BF335" i="5"/>
  <c r="BK335" i="5" s="1"/>
  <c r="BN334" i="5" s="1"/>
  <c r="BO334" i="5" s="1"/>
  <c r="BG134" i="5"/>
  <c r="BL134" i="5" s="1"/>
  <c r="BG203" i="5"/>
  <c r="BL203" i="5" s="1"/>
  <c r="BF23" i="5"/>
  <c r="BK23" i="5" s="1"/>
  <c r="BN22" i="5" s="1"/>
  <c r="BO22" i="5" s="1"/>
  <c r="BF560" i="5"/>
  <c r="BK560" i="5" s="1"/>
  <c r="BN559" i="5" s="1"/>
  <c r="BO559" i="5" s="1"/>
  <c r="BG53" i="5"/>
  <c r="BL53" i="5" s="1"/>
  <c r="BG508" i="5"/>
  <c r="BL508" i="5" s="1"/>
  <c r="BF242" i="5"/>
  <c r="BK242" i="5" s="1"/>
  <c r="BN242" i="5" s="1"/>
  <c r="BO242" i="5" s="1"/>
  <c r="BH280" i="5"/>
  <c r="BI280" i="5" s="1"/>
  <c r="BG359" i="5"/>
  <c r="BL359" i="5" s="1"/>
  <c r="BG190" i="5"/>
  <c r="BL190" i="5" s="1"/>
  <c r="BG343" i="5"/>
  <c r="BL343" i="5" s="1"/>
  <c r="BG102" i="5"/>
  <c r="BL102" i="5" s="1"/>
  <c r="BG394" i="5"/>
  <c r="BL394" i="5" s="1"/>
  <c r="BG528" i="5"/>
  <c r="BL528" i="5" s="1"/>
  <c r="BG431" i="5"/>
  <c r="BL431" i="5" s="1"/>
  <c r="BF21" i="5"/>
  <c r="BK21" i="5" s="1"/>
  <c r="BN21" i="5" s="1"/>
  <c r="BO21" i="5" s="1"/>
  <c r="BG301" i="5"/>
  <c r="BL301" i="5" s="1"/>
  <c r="BG354" i="5"/>
  <c r="BL354" i="5" s="1"/>
  <c r="BG180" i="5"/>
  <c r="BL180" i="5" s="1"/>
  <c r="BF458" i="5"/>
  <c r="BK458" i="5" s="1"/>
  <c r="BN457" i="5" s="1"/>
  <c r="BO457" i="5" s="1"/>
  <c r="BF356" i="5"/>
  <c r="BK356" i="5" s="1"/>
  <c r="BN355" i="5" s="1"/>
  <c r="BO355" i="5" s="1"/>
  <c r="BG289" i="5"/>
  <c r="BL289" i="5" s="1"/>
  <c r="BG346" i="5"/>
  <c r="BL346" i="5" s="1"/>
  <c r="BF140" i="5"/>
  <c r="BK140" i="5" s="1"/>
  <c r="BF198" i="5"/>
  <c r="BK198" i="5" s="1"/>
  <c r="BN197" i="5" s="1"/>
  <c r="BO197" i="5" s="1"/>
  <c r="BG397" i="5"/>
  <c r="BL397" i="5" s="1"/>
  <c r="BG330" i="5"/>
  <c r="BL330" i="5" s="1"/>
  <c r="BF96" i="5"/>
  <c r="BK96" i="5" s="1"/>
  <c r="BN96" i="5" s="1"/>
  <c r="BO96" i="5" s="1"/>
  <c r="BG270" i="5"/>
  <c r="BL270" i="5" s="1"/>
  <c r="BG208" i="5"/>
  <c r="BL208" i="5" s="1"/>
  <c r="BG379" i="5"/>
  <c r="BL379" i="5" s="1"/>
  <c r="BF86" i="5"/>
  <c r="BK86" i="5" s="1"/>
  <c r="BN86" i="5" s="1"/>
  <c r="BO86" i="5" s="1"/>
  <c r="BG526" i="5"/>
  <c r="BL526" i="5" s="1"/>
  <c r="BG139" i="5"/>
  <c r="BL139" i="5" s="1"/>
  <c r="BG111" i="5"/>
  <c r="BL111" i="5" s="1"/>
  <c r="BF80" i="5"/>
  <c r="BK80" i="5" s="1"/>
  <c r="BN80" i="5" s="1"/>
  <c r="BO80" i="5" s="1"/>
  <c r="BG129" i="5"/>
  <c r="BL129" i="5" s="1"/>
  <c r="BF489" i="5"/>
  <c r="BK489" i="5" s="1"/>
  <c r="BN488" i="5" s="1"/>
  <c r="BO488" i="5" s="1"/>
  <c r="BF229" i="5"/>
  <c r="BK229" i="5" s="1"/>
  <c r="BN229" i="5" s="1"/>
  <c r="BO229" i="5" s="1"/>
  <c r="BG328" i="5"/>
  <c r="BL328" i="5" s="1"/>
  <c r="BG288" i="5"/>
  <c r="BL288" i="5" s="1"/>
  <c r="BG26" i="5"/>
  <c r="BL26" i="5" s="1"/>
  <c r="BG292" i="5"/>
  <c r="BL292" i="5" s="1"/>
  <c r="BG514" i="5"/>
  <c r="BL514" i="5" s="1"/>
  <c r="BG253" i="5"/>
  <c r="BL253" i="5" s="1"/>
  <c r="BG513" i="5"/>
  <c r="BL513" i="5" s="1"/>
  <c r="BF467" i="5"/>
  <c r="BK467" i="5" s="1"/>
  <c r="BG50" i="5"/>
  <c r="BL50" i="5" s="1"/>
  <c r="AO143" i="6"/>
  <c r="AU143" i="6" s="1"/>
  <c r="AW143" i="6" s="1"/>
  <c r="BG274" i="5"/>
  <c r="BL274" i="5" s="1"/>
  <c r="AO141" i="6"/>
  <c r="AU141" i="6" s="1"/>
  <c r="AW141" i="6" s="1"/>
  <c r="AO48" i="6"/>
  <c r="AU48" i="6" s="1"/>
  <c r="AW48" i="6" s="1"/>
  <c r="BG341" i="5"/>
  <c r="BL341" i="5" s="1"/>
  <c r="BG131" i="5"/>
  <c r="BL131" i="5" s="1"/>
  <c r="BF495" i="5"/>
  <c r="BK495" i="5" s="1"/>
  <c r="BN494" i="5" s="1"/>
  <c r="BO494" i="5" s="1"/>
  <c r="BG480" i="5"/>
  <c r="BL480" i="5" s="1"/>
  <c r="BG556" i="5"/>
  <c r="BL556" i="5" s="1"/>
  <c r="BF499" i="5"/>
  <c r="BK499" i="5" s="1"/>
  <c r="BN499" i="5" s="1"/>
  <c r="BO499" i="5" s="1"/>
  <c r="BG70" i="5"/>
  <c r="BL70" i="5" s="1"/>
  <c r="BF187" i="5"/>
  <c r="BK187" i="5" s="1"/>
  <c r="BN187" i="5" s="1"/>
  <c r="BO187" i="5" s="1"/>
  <c r="BG472" i="5"/>
  <c r="BL472" i="5" s="1"/>
  <c r="BF279" i="5"/>
  <c r="BK279" i="5" s="1"/>
  <c r="BN278" i="5" s="1"/>
  <c r="BO278" i="5" s="1"/>
  <c r="BF182" i="5"/>
  <c r="BK182" i="5" s="1"/>
  <c r="BN182" i="5" s="1"/>
  <c r="BO182" i="5" s="1"/>
  <c r="BF88" i="5"/>
  <c r="BK88" i="5" s="1"/>
  <c r="BN88" i="5" s="1"/>
  <c r="BO88" i="5" s="1"/>
  <c r="BF113" i="5"/>
  <c r="BK113" i="5" s="1"/>
  <c r="BN112" i="5" s="1"/>
  <c r="BG250" i="5"/>
  <c r="BL250" i="5" s="1"/>
  <c r="BG205" i="5"/>
  <c r="BL205" i="5" s="1"/>
  <c r="BF530" i="5"/>
  <c r="BK530" i="5" s="1"/>
  <c r="BN530" i="5" s="1"/>
  <c r="BO530" i="5" s="1"/>
  <c r="BF233" i="5"/>
  <c r="BK233" i="5" s="1"/>
  <c r="BN233" i="5" s="1"/>
  <c r="BO233" i="5" s="1"/>
  <c r="BG351" i="5"/>
  <c r="BL351" i="5" s="1"/>
  <c r="BF103" i="5"/>
  <c r="BK103" i="5" s="1"/>
  <c r="BN103" i="5" s="1"/>
  <c r="BO103" i="5" s="1"/>
  <c r="BF49" i="5"/>
  <c r="BK49" i="5" s="1"/>
  <c r="BN49" i="5" s="1"/>
  <c r="BO49" i="5" s="1"/>
  <c r="BF517" i="5"/>
  <c r="BK517" i="5" s="1"/>
  <c r="BF82" i="5"/>
  <c r="BK82" i="5" s="1"/>
  <c r="BN81" i="5" s="1"/>
  <c r="BO81" i="5" s="1"/>
  <c r="BG54" i="5"/>
  <c r="BL54" i="5" s="1"/>
  <c r="BF535" i="5"/>
  <c r="BK535" i="5" s="1"/>
  <c r="BN534" i="5" s="1"/>
  <c r="BO534" i="5" s="1"/>
  <c r="BG331" i="5"/>
  <c r="BL331" i="5" s="1"/>
  <c r="BF302" i="5"/>
  <c r="BK302" i="5" s="1"/>
  <c r="BN302" i="5" s="1"/>
  <c r="BO302" i="5" s="1"/>
  <c r="AO44" i="6"/>
  <c r="AU44" i="6" s="1"/>
  <c r="AW44" i="6" s="1"/>
  <c r="AO135" i="6"/>
  <c r="AU135" i="6" s="1"/>
  <c r="AW135" i="6" s="1"/>
  <c r="AO82" i="6"/>
  <c r="AU82" i="6" s="1"/>
  <c r="AW82" i="6" s="1"/>
  <c r="AU47" i="6"/>
  <c r="AW47" i="6" s="1"/>
  <c r="AO89" i="6"/>
  <c r="AU89" i="6" s="1"/>
  <c r="AW89" i="6" s="1"/>
  <c r="AO132" i="6"/>
  <c r="AU132" i="6" s="1"/>
  <c r="AW132" i="6" s="1"/>
  <c r="BF357" i="5"/>
  <c r="BK357" i="5" s="1"/>
  <c r="BF228" i="5"/>
  <c r="BK228" i="5" s="1"/>
  <c r="BN227" i="5" s="1"/>
  <c r="BO227" i="5" s="1"/>
  <c r="BF387" i="5"/>
  <c r="BK387" i="5" s="1"/>
  <c r="BN386" i="5" s="1"/>
  <c r="BO386" i="5" s="1"/>
  <c r="BG94" i="5"/>
  <c r="BL94" i="5" s="1"/>
  <c r="BG463" i="5"/>
  <c r="BL463" i="5" s="1"/>
  <c r="BG262" i="5"/>
  <c r="BL262" i="5" s="1"/>
  <c r="BF141" i="5"/>
  <c r="BK141" i="5" s="1"/>
  <c r="BN141" i="5" s="1"/>
  <c r="BO141" i="5" s="1"/>
  <c r="BG109" i="5"/>
  <c r="BL109" i="5" s="1"/>
  <c r="BG243" i="5"/>
  <c r="BL243" i="5" s="1"/>
  <c r="BG156" i="5"/>
  <c r="BL156" i="5" s="1"/>
  <c r="BF168" i="5"/>
  <c r="BK168" i="5" s="1"/>
  <c r="BN167" i="5" s="1"/>
  <c r="BO167" i="5" s="1"/>
  <c r="BG442" i="5"/>
  <c r="BL442" i="5" s="1"/>
  <c r="BG124" i="5"/>
  <c r="BL124" i="5" s="1"/>
  <c r="BG149" i="5"/>
  <c r="BL149" i="5" s="1"/>
  <c r="BG112" i="5"/>
  <c r="BL112" i="5" s="1"/>
  <c r="BG115" i="5"/>
  <c r="BL115" i="5" s="1"/>
  <c r="BG22" i="5"/>
  <c r="BL22" i="5" s="1"/>
  <c r="BG214" i="5"/>
  <c r="BL214" i="5" s="1"/>
  <c r="BF428" i="5"/>
  <c r="BK428" i="5" s="1"/>
  <c r="BN427" i="5" s="1"/>
  <c r="BO427" i="5" s="1"/>
  <c r="BG532" i="5"/>
  <c r="BL532" i="5" s="1"/>
  <c r="BF423" i="5"/>
  <c r="BK423" i="5" s="1"/>
  <c r="BN422" i="5" s="1"/>
  <c r="BO422" i="5" s="1"/>
  <c r="BG425" i="5"/>
  <c r="BL425" i="5" s="1"/>
  <c r="BG240" i="5"/>
  <c r="BL240" i="5" s="1"/>
  <c r="BF128" i="5"/>
  <c r="BK128" i="5" s="1"/>
  <c r="BN128" i="5" s="1"/>
  <c r="BO128" i="5" s="1"/>
  <c r="BF294" i="5"/>
  <c r="BK294" i="5" s="1"/>
  <c r="BN293" i="5" s="1"/>
  <c r="BO293" i="5" s="1"/>
  <c r="BG130" i="5"/>
  <c r="BL130" i="5" s="1"/>
  <c r="BF368" i="5"/>
  <c r="BK368" i="5" s="1"/>
  <c r="BN368" i="5" s="1"/>
  <c r="BO368" i="5" s="1"/>
  <c r="BF550" i="5"/>
  <c r="BK550" i="5" s="1"/>
  <c r="BN550" i="5" s="1"/>
  <c r="BO550" i="5" s="1"/>
  <c r="BF412" i="5"/>
  <c r="BK412" i="5" s="1"/>
  <c r="BN412" i="5" s="1"/>
  <c r="BO412" i="5" s="1"/>
  <c r="BF462" i="5"/>
  <c r="BK462" i="5" s="1"/>
  <c r="BN462" i="5" s="1"/>
  <c r="BO462" i="5" s="1"/>
  <c r="BF377" i="5"/>
  <c r="BK377" i="5" s="1"/>
  <c r="BN377" i="5" s="1"/>
  <c r="BO377" i="5" s="1"/>
  <c r="BG247" i="5"/>
  <c r="BL247" i="5" s="1"/>
  <c r="BG457" i="5"/>
  <c r="BL457" i="5" s="1"/>
  <c r="BG390" i="5"/>
  <c r="BL390" i="5" s="1"/>
  <c r="BF340" i="5"/>
  <c r="BK340" i="5" s="1"/>
  <c r="BN339" i="5" s="1"/>
  <c r="BO339" i="5" s="1"/>
  <c r="BG548" i="5"/>
  <c r="BL548" i="5" s="1"/>
  <c r="BF299" i="5"/>
  <c r="BK299" i="5" s="1"/>
  <c r="BN298" i="5" s="1"/>
  <c r="BO298" i="5" s="1"/>
  <c r="BF381" i="5"/>
  <c r="BK381" i="5" s="1"/>
  <c r="BF224" i="5"/>
  <c r="BK224" i="5" s="1"/>
  <c r="BN224" i="5" s="1"/>
  <c r="BO224" i="5" s="1"/>
  <c r="BG411" i="5"/>
  <c r="BL411" i="5" s="1"/>
  <c r="BF43" i="5"/>
  <c r="BK43" i="5" s="1"/>
  <c r="BN43" i="5" s="1"/>
  <c r="BO43" i="5" s="1"/>
  <c r="BG172" i="5"/>
  <c r="BL172" i="5" s="1"/>
  <c r="BG496" i="5"/>
  <c r="BL496" i="5" s="1"/>
  <c r="BF92" i="5"/>
  <c r="BK92" i="5" s="1"/>
  <c r="BN91" i="5" s="1"/>
  <c r="BO91" i="5" s="1"/>
  <c r="BG399" i="5"/>
  <c r="BL399" i="5" s="1"/>
  <c r="BG33" i="5"/>
  <c r="BL33" i="5" s="1"/>
  <c r="BF95" i="5"/>
  <c r="BK95" i="5" s="1"/>
  <c r="BN94" i="5" s="1"/>
  <c r="BO94" i="5" s="1"/>
  <c r="BF403" i="5"/>
  <c r="BK403" i="5" s="1"/>
  <c r="BN403" i="5" s="1"/>
  <c r="BO403" i="5" s="1"/>
  <c r="BF372" i="5"/>
  <c r="BK372" i="5" s="1"/>
  <c r="BN372" i="5" s="1"/>
  <c r="BO372" i="5" s="1"/>
  <c r="BG271" i="5"/>
  <c r="BL271" i="5" s="1"/>
  <c r="BG355" i="5"/>
  <c r="BL355" i="5" s="1"/>
  <c r="BG58" i="5"/>
  <c r="BL58" i="5" s="1"/>
  <c r="BF484" i="5"/>
  <c r="BK484" i="5" s="1"/>
  <c r="BN484" i="5" s="1"/>
  <c r="BO484" i="5" s="1"/>
  <c r="BF196" i="5"/>
  <c r="BK196" i="5" s="1"/>
  <c r="BN196" i="5" s="1"/>
  <c r="BO196" i="5" s="1"/>
  <c r="BG426" i="5"/>
  <c r="BL426" i="5" s="1"/>
  <c r="BF173" i="5"/>
  <c r="BK173" i="5" s="1"/>
  <c r="BN172" i="5" s="1"/>
  <c r="BO172" i="5" s="1"/>
  <c r="BG280" i="5"/>
  <c r="BL280" i="5" s="1"/>
  <c r="BG195" i="5"/>
  <c r="BL195" i="5" s="1"/>
  <c r="BF123" i="5"/>
  <c r="BK123" i="5" s="1"/>
  <c r="BN123" i="5" s="1"/>
  <c r="BO123" i="5" s="1"/>
  <c r="BG235" i="5"/>
  <c r="BL235" i="5" s="1"/>
  <c r="BG529" i="5"/>
  <c r="BL529" i="5" s="1"/>
  <c r="BG223" i="5"/>
  <c r="BL223" i="5" s="1"/>
  <c r="BF504" i="5"/>
  <c r="BK504" i="5" s="1"/>
  <c r="BN503" i="5" s="1"/>
  <c r="BO503" i="5" s="1"/>
  <c r="BF179" i="5"/>
  <c r="BK179" i="5" s="1"/>
  <c r="BN179" i="5" s="1"/>
  <c r="BO179" i="5" s="1"/>
  <c r="BF429" i="5"/>
  <c r="BK429" i="5" s="1"/>
  <c r="BF415" i="5"/>
  <c r="BK415" i="5" s="1"/>
  <c r="BN414" i="5" s="1"/>
  <c r="BO414" i="5" s="1"/>
  <c r="BF232" i="5"/>
  <c r="BK232" i="5" s="1"/>
  <c r="BN231" i="5" s="1"/>
  <c r="BO231" i="5" s="1"/>
  <c r="BG308" i="5"/>
  <c r="BL308" i="5" s="1"/>
  <c r="BG408" i="5"/>
  <c r="BL408" i="5" s="1"/>
  <c r="BG469" i="5"/>
  <c r="BL469" i="5" s="1"/>
  <c r="BG155" i="5"/>
  <c r="BL155" i="5" s="1"/>
  <c r="BF543" i="5"/>
  <c r="BK543" i="5" s="1"/>
  <c r="BN542" i="5" s="1"/>
  <c r="BO542" i="5" s="1"/>
  <c r="BG393" i="5"/>
  <c r="BL393" i="5" s="1"/>
  <c r="BG558" i="5"/>
  <c r="BL558" i="5" s="1"/>
  <c r="BG435" i="5"/>
  <c r="BL435" i="5" s="1"/>
  <c r="BF410" i="5"/>
  <c r="BK410" i="5" s="1"/>
  <c r="BN410" i="5" s="1"/>
  <c r="BO410" i="5" s="1"/>
  <c r="BF315" i="5"/>
  <c r="BK315" i="5" s="1"/>
  <c r="BF254" i="5"/>
  <c r="BK254" i="5" s="1"/>
  <c r="BN254" i="5" s="1"/>
  <c r="BO254" i="5" s="1"/>
  <c r="BG79" i="5"/>
  <c r="BL79" i="5" s="1"/>
  <c r="BF525" i="5"/>
  <c r="BK525" i="5" s="1"/>
  <c r="BN524" i="5" s="1"/>
  <c r="BO524" i="5" s="1"/>
  <c r="BF151" i="5"/>
  <c r="BK151" i="5" s="1"/>
  <c r="BN150" i="5" s="1"/>
  <c r="BO150" i="5" s="1"/>
  <c r="BF324" i="5"/>
  <c r="BK324" i="5" s="1"/>
  <c r="BN324" i="5" s="1"/>
  <c r="BO324" i="5" s="1"/>
  <c r="BG422" i="5"/>
  <c r="BL422" i="5" s="1"/>
  <c r="BG209" i="5"/>
  <c r="BL209" i="5" s="1"/>
  <c r="BG334" i="5"/>
  <c r="BL334" i="5" s="1"/>
  <c r="BF276" i="5"/>
  <c r="BK276" i="5" s="1"/>
  <c r="BN276" i="5" s="1"/>
  <c r="BO276" i="5" s="1"/>
  <c r="BG267" i="5"/>
  <c r="BL267" i="5" s="1"/>
  <c r="BF439" i="5"/>
  <c r="BK439" i="5" s="1"/>
  <c r="BF290" i="5"/>
  <c r="BK290" i="5" s="1"/>
  <c r="BN289" i="5" s="1"/>
  <c r="BO289" i="5" s="1"/>
  <c r="BG251" i="5"/>
  <c r="BL251" i="5" s="1"/>
  <c r="BG303" i="5"/>
  <c r="BL303" i="5" s="1"/>
  <c r="BG210" i="5"/>
  <c r="BL210" i="5" s="1"/>
  <c r="BG237" i="5"/>
  <c r="BL237" i="5" s="1"/>
  <c r="BG405" i="5"/>
  <c r="BL405" i="5" s="1"/>
  <c r="BF68" i="5"/>
  <c r="BK68" i="5" s="1"/>
  <c r="BN67" i="5" s="1"/>
  <c r="BO67" i="5" s="1"/>
  <c r="BF66" i="5"/>
  <c r="BK66" i="5" s="1"/>
  <c r="BN65" i="5" s="1"/>
  <c r="BO65" i="5" s="1"/>
  <c r="BF64" i="5"/>
  <c r="BK64" i="5" s="1"/>
  <c r="BN63" i="5" s="1"/>
  <c r="BO63" i="5" s="1"/>
  <c r="BG542" i="5"/>
  <c r="BL542" i="5" s="1"/>
  <c r="BF101" i="5"/>
  <c r="BK101" i="5" s="1"/>
  <c r="BN101" i="5" s="1"/>
  <c r="BO101" i="5" s="1"/>
  <c r="BF409" i="5"/>
  <c r="BK409" i="5" s="1"/>
  <c r="BN408" i="5" s="1"/>
  <c r="BO408" i="5" s="1"/>
  <c r="BF116" i="5"/>
  <c r="BK116" i="5" s="1"/>
  <c r="BN116" i="5" s="1"/>
  <c r="BO116" i="5" s="1"/>
  <c r="BG282" i="5"/>
  <c r="BL282" i="5" s="1"/>
  <c r="BF389" i="5"/>
  <c r="BK389" i="5" s="1"/>
  <c r="BN389" i="5" s="1"/>
  <c r="BO389" i="5" s="1"/>
  <c r="BG465" i="5"/>
  <c r="BL465" i="5" s="1"/>
  <c r="BF48" i="5"/>
  <c r="BK48" i="5" s="1"/>
  <c r="BF158" i="5"/>
  <c r="BK158" i="5" s="1"/>
  <c r="BN157" i="5" s="1"/>
  <c r="BO157" i="5" s="1"/>
  <c r="BG73" i="5"/>
  <c r="BL73" i="5" s="1"/>
  <c r="BG366" i="5"/>
  <c r="BL366" i="5" s="1"/>
  <c r="BG483" i="5"/>
  <c r="BL483" i="5" s="1"/>
  <c r="BF349" i="5"/>
  <c r="BK349" i="5" s="1"/>
  <c r="BN348" i="5" s="1"/>
  <c r="BO348" i="5" s="1"/>
  <c r="BF451" i="5"/>
  <c r="BK451" i="5" s="1"/>
  <c r="BN450" i="5" s="1"/>
  <c r="BO450" i="5" s="1"/>
  <c r="AP165" i="5"/>
  <c r="BG364" i="5"/>
  <c r="BL364" i="5" s="1"/>
  <c r="BF105" i="5"/>
  <c r="BK105" i="5" s="1"/>
  <c r="BN105" i="5" s="1"/>
  <c r="BO105" i="5" s="1"/>
  <c r="BF506" i="5"/>
  <c r="BK506" i="5" s="1"/>
  <c r="BN505" i="5" s="1"/>
  <c r="BO505" i="5" s="1"/>
  <c r="BF56" i="5"/>
  <c r="BK56" i="5" s="1"/>
  <c r="BN55" i="5" s="1"/>
  <c r="BO55" i="5" s="1"/>
  <c r="BF211" i="5"/>
  <c r="BK211" i="5" s="1"/>
  <c r="BN210" i="5" s="1"/>
  <c r="BO210" i="5" s="1"/>
  <c r="AQ165" i="5"/>
  <c r="BG406" i="5"/>
  <c r="BL406" i="5" s="1"/>
  <c r="BG169" i="5"/>
  <c r="BL169" i="5" s="1"/>
  <c r="BF35" i="5"/>
  <c r="BK35" i="5" s="1"/>
  <c r="BN34" i="5" s="1"/>
  <c r="BO34" i="5" s="1"/>
  <c r="BG248" i="5"/>
  <c r="BL248" i="5" s="1"/>
  <c r="BF433" i="5"/>
  <c r="BK433" i="5" s="1"/>
  <c r="BN432" i="5" s="1"/>
  <c r="BO432" i="5" s="1"/>
  <c r="BG501" i="5"/>
  <c r="BL501" i="5" s="1"/>
  <c r="BG281" i="5"/>
  <c r="BL281" i="5" s="1"/>
  <c r="BF260" i="5"/>
  <c r="BK260" i="5" s="1"/>
  <c r="BN259" i="5" s="1"/>
  <c r="BF28" i="5"/>
  <c r="BK28" i="5" s="1"/>
  <c r="BN28" i="5" s="1"/>
  <c r="BO28" i="5" s="1"/>
  <c r="BG537" i="5"/>
  <c r="BL537" i="5" s="1"/>
  <c r="BF398" i="5"/>
  <c r="BK398" i="5" s="1"/>
  <c r="BN398" i="5" s="1"/>
  <c r="BO398" i="5" s="1"/>
  <c r="BG367" i="5"/>
  <c r="BL367" i="5" s="1"/>
  <c r="BF332" i="5"/>
  <c r="BK332" i="5" s="1"/>
  <c r="BN332" i="5" s="1"/>
  <c r="BO332" i="5" s="1"/>
  <c r="BF152" i="5"/>
  <c r="BK152" i="5" s="1"/>
  <c r="BG470" i="5"/>
  <c r="BL470" i="5" s="1"/>
  <c r="BG19" i="5"/>
  <c r="BL19" i="5" s="1"/>
  <c r="BF71" i="5"/>
  <c r="BK71" i="5" s="1"/>
  <c r="BN70" i="5" s="1"/>
  <c r="BO70" i="5" s="1"/>
  <c r="BG455" i="5"/>
  <c r="BL455" i="5" s="1"/>
  <c r="BG505" i="5"/>
  <c r="BL505" i="5" s="1"/>
  <c r="BG216" i="5"/>
  <c r="BL216" i="5" s="1"/>
  <c r="BF108" i="5"/>
  <c r="BK108" i="5" s="1"/>
  <c r="BN107" i="5" s="1"/>
  <c r="BO107" i="5" s="1"/>
  <c r="BG519" i="5"/>
  <c r="BL519" i="5" s="1"/>
  <c r="BG34" i="5"/>
  <c r="BL34" i="5" s="1"/>
  <c r="BG395" i="5"/>
  <c r="BL395" i="5" s="1"/>
  <c r="BG163" i="5"/>
  <c r="BL163" i="5" s="1"/>
  <c r="BF212" i="5"/>
  <c r="BK212" i="5" s="1"/>
  <c r="BF11" i="5"/>
  <c r="BK11" i="5" s="1"/>
  <c r="BH41" i="5"/>
  <c r="BJ41" i="5" s="1"/>
  <c r="BF122" i="5"/>
  <c r="BK122" i="5" s="1"/>
  <c r="BG32" i="5"/>
  <c r="BL32" i="5" s="1"/>
  <c r="BG206" i="5"/>
  <c r="BL206" i="5" s="1"/>
  <c r="BF47" i="5"/>
  <c r="BK47" i="5" s="1"/>
  <c r="BG325" i="5"/>
  <c r="BL325" i="5" s="1"/>
  <c r="AP41" i="5"/>
  <c r="BG286" i="5"/>
  <c r="BL286" i="5" s="1"/>
  <c r="BG239" i="5"/>
  <c r="BL239" i="5" s="1"/>
  <c r="BG65" i="5"/>
  <c r="BL65" i="5" s="1"/>
  <c r="BF72" i="5"/>
  <c r="BK72" i="5" s="1"/>
  <c r="BN72" i="5" s="1"/>
  <c r="BO72" i="5" s="1"/>
  <c r="BF125" i="5"/>
  <c r="BK125" i="5" s="1"/>
  <c r="BN124" i="5" s="1"/>
  <c r="BO124" i="5" s="1"/>
  <c r="BF557" i="5"/>
  <c r="BK557" i="5" s="1"/>
  <c r="BN556" i="5" s="1"/>
  <c r="BO556" i="5" s="1"/>
  <c r="BF39" i="5"/>
  <c r="BK39" i="5" s="1"/>
  <c r="BN38" i="5" s="1"/>
  <c r="BO38" i="5" s="1"/>
  <c r="BG37" i="5"/>
  <c r="BL37" i="5" s="1"/>
  <c r="BF24" i="5"/>
  <c r="BK24" i="5" s="1"/>
  <c r="BG417" i="5"/>
  <c r="BL417" i="5" s="1"/>
  <c r="BG218" i="5"/>
  <c r="BL218" i="5" s="1"/>
  <c r="BF509" i="5"/>
  <c r="BK509" i="5" s="1"/>
  <c r="BN508" i="5" s="1"/>
  <c r="BO508" i="5" s="1"/>
  <c r="BF459" i="5"/>
  <c r="BK459" i="5" s="1"/>
  <c r="BG273" i="5"/>
  <c r="BL273" i="5" s="1"/>
  <c r="BG45" i="5"/>
  <c r="BL45" i="5" s="1"/>
  <c r="BG494" i="5"/>
  <c r="BL494" i="5" s="1"/>
  <c r="AQ280" i="5"/>
  <c r="BF99" i="5"/>
  <c r="BK99" i="5" s="1"/>
  <c r="BN98" i="5" s="1"/>
  <c r="BO98" i="5" s="1"/>
  <c r="AP383" i="5"/>
  <c r="BH383" i="5"/>
  <c r="BI383" i="5" s="1"/>
  <c r="BG551" i="5"/>
  <c r="BL551" i="5" s="1"/>
  <c r="BG185" i="5"/>
  <c r="BL185" i="5" s="1"/>
  <c r="BF283" i="5"/>
  <c r="BK283" i="5" s="1"/>
  <c r="BN283" i="5" s="1"/>
  <c r="BO283" i="5" s="1"/>
  <c r="BF454" i="5"/>
  <c r="BK454" i="5" s="1"/>
  <c r="BN454" i="5" s="1"/>
  <c r="BO454" i="5" s="1"/>
  <c r="BF507" i="5"/>
  <c r="BK507" i="5" s="1"/>
  <c r="BN507" i="5" s="1"/>
  <c r="BO507" i="5" s="1"/>
  <c r="BF554" i="5"/>
  <c r="BK554" i="5" s="1"/>
  <c r="BN553" i="5" s="1"/>
  <c r="BO553" i="5" s="1"/>
  <c r="BF241" i="5"/>
  <c r="BK241" i="5" s="1"/>
  <c r="BG153" i="5"/>
  <c r="BL153" i="5" s="1"/>
  <c r="BG259" i="5"/>
  <c r="BL259" i="5" s="1"/>
  <c r="BH256" i="5"/>
  <c r="BJ256" i="5" s="1"/>
  <c r="BG424" i="5"/>
  <c r="BL424" i="5" s="1"/>
  <c r="BG177" i="5"/>
  <c r="BL177" i="5" s="1"/>
  <c r="BF391" i="5"/>
  <c r="BK391" i="5" s="1"/>
  <c r="BN390" i="5" s="1"/>
  <c r="BO390" i="5" s="1"/>
  <c r="BG178" i="5"/>
  <c r="BL178" i="5" s="1"/>
  <c r="BG174" i="5"/>
  <c r="BL174" i="5" s="1"/>
  <c r="BF36" i="5"/>
  <c r="BK36" i="5" s="1"/>
  <c r="BN36" i="5" s="1"/>
  <c r="BO36" i="5" s="1"/>
  <c r="BG287" i="5"/>
  <c r="BL287" i="5" s="1"/>
  <c r="BG521" i="5"/>
  <c r="BL521" i="5" s="1"/>
  <c r="BF345" i="5"/>
  <c r="BK345" i="5" s="1"/>
  <c r="BN345" i="5" s="1"/>
  <c r="BO345" i="5" s="1"/>
  <c r="BG453" i="5"/>
  <c r="BL453" i="5" s="1"/>
  <c r="BG365" i="5"/>
  <c r="BL365" i="5" s="1"/>
  <c r="BG414" i="5"/>
  <c r="BL414" i="5" s="1"/>
  <c r="BG234" i="5"/>
  <c r="BL234" i="5" s="1"/>
  <c r="BG75" i="5"/>
  <c r="BL75" i="5" s="1"/>
  <c r="AQ42" i="5"/>
  <c r="BG193" i="5"/>
  <c r="BL193" i="5" s="1"/>
  <c r="BF264" i="5"/>
  <c r="BK264" i="5" s="1"/>
  <c r="BF266" i="5"/>
  <c r="BK266" i="5" s="1"/>
  <c r="BN266" i="5" s="1"/>
  <c r="BO266" i="5" s="1"/>
  <c r="BF353" i="5"/>
  <c r="BK353" i="5" s="1"/>
  <c r="BN353" i="5" s="1"/>
  <c r="BO353" i="5" s="1"/>
  <c r="BF181" i="5"/>
  <c r="BK181" i="5" s="1"/>
  <c r="BN180" i="5" s="1"/>
  <c r="BO180" i="5" s="1"/>
  <c r="BG77" i="5"/>
  <c r="BL77" i="5" s="1"/>
  <c r="BG184" i="5"/>
  <c r="BL184" i="5" s="1"/>
  <c r="BF382" i="5"/>
  <c r="BK382" i="5" s="1"/>
  <c r="BG119" i="5"/>
  <c r="BL119" i="5" s="1"/>
  <c r="BG329" i="5"/>
  <c r="BL329" i="5" s="1"/>
  <c r="BG91" i="5"/>
  <c r="BL91" i="5" s="1"/>
  <c r="BG362" i="5"/>
  <c r="BL362" i="5" s="1"/>
  <c r="BN533" i="5"/>
  <c r="BO533" i="5" s="1"/>
  <c r="BF52" i="5"/>
  <c r="BK52" i="5" s="1"/>
  <c r="BN51" i="5" s="1"/>
  <c r="BO51" i="5" s="1"/>
  <c r="BG162" i="5"/>
  <c r="BL162" i="5" s="1"/>
  <c r="BF145" i="5"/>
  <c r="BK145" i="5" s="1"/>
  <c r="BN145" i="5" s="1"/>
  <c r="BO145" i="5" s="1"/>
  <c r="BF27" i="5"/>
  <c r="BK27" i="5" s="1"/>
  <c r="BN26" i="5" s="1"/>
  <c r="BO26" i="5" s="1"/>
  <c r="BF376" i="5"/>
  <c r="BK376" i="5" s="1"/>
  <c r="BN375" i="5" s="1"/>
  <c r="BO375" i="5" s="1"/>
  <c r="BF213" i="5"/>
  <c r="BK213" i="5" s="1"/>
  <c r="BN213" i="5" s="1"/>
  <c r="BO213" i="5" s="1"/>
  <c r="BG487" i="5"/>
  <c r="BL487" i="5" s="1"/>
  <c r="AP336" i="5"/>
  <c r="BH230" i="5"/>
  <c r="BJ230" i="5" s="1"/>
  <c r="AP307" i="5"/>
  <c r="BF510" i="5"/>
  <c r="BK510" i="5" s="1"/>
  <c r="BF321" i="5"/>
  <c r="BK321" i="5" s="1"/>
  <c r="BN320" i="5" s="1"/>
  <c r="BO320" i="5" s="1"/>
  <c r="BN219" i="5"/>
  <c r="BO219" i="5" s="1"/>
  <c r="BG98" i="5"/>
  <c r="BL98" i="5" s="1"/>
  <c r="BF263" i="5"/>
  <c r="BK263" i="5" s="1"/>
  <c r="BN262" i="5" s="1"/>
  <c r="BO262" i="5" s="1"/>
  <c r="BG536" i="5"/>
  <c r="BL536" i="5" s="1"/>
  <c r="BG81" i="5"/>
  <c r="BL81" i="5" s="1"/>
  <c r="BG538" i="5"/>
  <c r="BL538" i="5" s="1"/>
  <c r="BF310" i="5"/>
  <c r="BK310" i="5" s="1"/>
  <c r="BN310" i="5" s="1"/>
  <c r="BO310" i="5" s="1"/>
  <c r="BF498" i="5"/>
  <c r="BK498" i="5" s="1"/>
  <c r="BN110" i="5"/>
  <c r="BO110" i="5" s="1"/>
  <c r="BF352" i="5"/>
  <c r="BK352" i="5" s="1"/>
  <c r="BN351" i="5" s="1"/>
  <c r="BO351" i="5" s="1"/>
  <c r="BH182" i="5"/>
  <c r="BI182" i="5" s="1"/>
  <c r="BF475" i="5"/>
  <c r="BK475" i="5" s="1"/>
  <c r="BN475" i="5" s="1"/>
  <c r="BO475" i="5" s="1"/>
  <c r="BG493" i="5"/>
  <c r="BL493" i="5" s="1"/>
  <c r="BH545" i="5"/>
  <c r="BI545" i="5" s="1"/>
  <c r="BF127" i="5"/>
  <c r="BK127" i="5" s="1"/>
  <c r="AQ545" i="5"/>
  <c r="BF136" i="5"/>
  <c r="BK136" i="5" s="1"/>
  <c r="AP499" i="5"/>
  <c r="BG314" i="5"/>
  <c r="BL314" i="5" s="1"/>
  <c r="AQ289" i="5"/>
  <c r="BN476" i="5"/>
  <c r="BO476" i="5" s="1"/>
  <c r="BN249" i="5"/>
  <c r="BO249" i="5" s="1"/>
  <c r="AQ83" i="5"/>
  <c r="BF546" i="5"/>
  <c r="BK546" i="5" s="1"/>
  <c r="BN546" i="5" s="1"/>
  <c r="BO546" i="5" s="1"/>
  <c r="BG268" i="5"/>
  <c r="BL268" i="5" s="1"/>
  <c r="BF202" i="5"/>
  <c r="BK202" i="5" s="1"/>
  <c r="BN202" i="5" s="1"/>
  <c r="BO202" i="5" s="1"/>
  <c r="BN465" i="5"/>
  <c r="BO465" i="5" s="1"/>
  <c r="BH61" i="5"/>
  <c r="BI61" i="5" s="1"/>
  <c r="BF76" i="5"/>
  <c r="BK76" i="5" s="1"/>
  <c r="BN75" i="5" s="1"/>
  <c r="BO75" i="5" s="1"/>
  <c r="BF20" i="5"/>
  <c r="BK20" i="5" s="1"/>
  <c r="BH354" i="5"/>
  <c r="BI354" i="5" s="1"/>
  <c r="AP101" i="5"/>
  <c r="BH127" i="5"/>
  <c r="BI127" i="5" s="1"/>
  <c r="AP61" i="5"/>
  <c r="AQ402" i="5"/>
  <c r="BH402" i="5"/>
  <c r="BJ402" i="5" s="1"/>
  <c r="BN176" i="5"/>
  <c r="BO176" i="5" s="1"/>
  <c r="BH336" i="5"/>
  <c r="BJ336" i="5" s="1"/>
  <c r="AQ307" i="5"/>
  <c r="AP250" i="5"/>
  <c r="BH115" i="5"/>
  <c r="BJ115" i="5" s="1"/>
  <c r="AQ115" i="5"/>
  <c r="AQ74" i="5"/>
  <c r="BH74" i="5"/>
  <c r="BI74" i="5" s="1"/>
  <c r="BN284" i="5"/>
  <c r="BO284" i="5" s="1"/>
  <c r="BN366" i="5"/>
  <c r="BO366" i="5" s="1"/>
  <c r="BN280" i="5"/>
  <c r="BO280" i="5" s="1"/>
  <c r="BN456" i="5"/>
  <c r="BO456" i="5" s="1"/>
  <c r="BF25" i="5"/>
  <c r="BK25" i="5" s="1"/>
  <c r="BN539" i="5"/>
  <c r="BO539" i="5" s="1"/>
  <c r="BN555" i="5"/>
  <c r="BO555" i="5" s="1"/>
  <c r="BN307" i="5"/>
  <c r="BO307" i="5" s="1"/>
  <c r="BN50" i="5"/>
  <c r="BO50" i="5" s="1"/>
  <c r="BN45" i="5"/>
  <c r="BO45" i="5" s="1"/>
  <c r="BG277" i="5"/>
  <c r="BL277" i="5" s="1"/>
  <c r="AP349" i="5"/>
  <c r="AQ349" i="5"/>
  <c r="BN325" i="5"/>
  <c r="BO325" i="5" s="1"/>
  <c r="BN528" i="5"/>
  <c r="BO528" i="5" s="1"/>
  <c r="BN119" i="5"/>
  <c r="BO119" i="5" s="1"/>
  <c r="AQ214" i="5"/>
  <c r="AP214" i="5"/>
  <c r="AQ541" i="5"/>
  <c r="BG326" i="5"/>
  <c r="BL326" i="5" s="1"/>
  <c r="BN417" i="5"/>
  <c r="BO417" i="5" s="1"/>
  <c r="BH164" i="5"/>
  <c r="BJ164" i="5" s="1"/>
  <c r="BH149" i="5"/>
  <c r="BI149" i="5" s="1"/>
  <c r="AQ164" i="5"/>
  <c r="AP167" i="5"/>
  <c r="AP541" i="5"/>
  <c r="AP149" i="5"/>
  <c r="BH167" i="5"/>
  <c r="BI167" i="5" s="1"/>
  <c r="AP369" i="5"/>
  <c r="AQ262" i="5"/>
  <c r="AQ148" i="5"/>
  <c r="AQ369" i="5"/>
  <c r="BH289" i="5"/>
  <c r="BJ289" i="5" s="1"/>
  <c r="BH297" i="5"/>
  <c r="BJ297" i="5" s="1"/>
  <c r="AP297" i="5"/>
  <c r="AP504" i="5"/>
  <c r="AQ499" i="5"/>
  <c r="BH351" i="5"/>
  <c r="BI351" i="5" s="1"/>
  <c r="AP484" i="5"/>
  <c r="AP337" i="5"/>
  <c r="AQ351" i="5"/>
  <c r="BN247" i="5"/>
  <c r="BO247" i="5" s="1"/>
  <c r="BN473" i="5"/>
  <c r="BO473" i="5" s="1"/>
  <c r="AQ537" i="5"/>
  <c r="BN83" i="5"/>
  <c r="BO83" i="5" s="1"/>
  <c r="BN184" i="5"/>
  <c r="BO184" i="5" s="1"/>
  <c r="BN236" i="5"/>
  <c r="BO236" i="5" s="1"/>
  <c r="BN37" i="5"/>
  <c r="BO37" i="5" s="1"/>
  <c r="BN31" i="5"/>
  <c r="BO31" i="5" s="1"/>
  <c r="BN146" i="5"/>
  <c r="BO146" i="5" s="1"/>
  <c r="BN190" i="5"/>
  <c r="BO190" i="5" s="1"/>
  <c r="AP395" i="5"/>
  <c r="AQ443" i="5"/>
  <c r="AQ395" i="5"/>
  <c r="AQ208" i="5"/>
  <c r="AP537" i="5"/>
  <c r="AP208" i="5"/>
  <c r="AQ457" i="5"/>
  <c r="BH557" i="5"/>
  <c r="BJ557" i="5" s="1"/>
  <c r="AP428" i="5"/>
  <c r="AQ250" i="5"/>
  <c r="BN354" i="5"/>
  <c r="BO354" i="5" s="1"/>
  <c r="BH428" i="5"/>
  <c r="BI428" i="5" s="1"/>
  <c r="BN378" i="5"/>
  <c r="BO378" i="5" s="1"/>
  <c r="BN346" i="5"/>
  <c r="BO346" i="5" s="1"/>
  <c r="BN246" i="5"/>
  <c r="BO246" i="5" s="1"/>
  <c r="BH219" i="5"/>
  <c r="BI219" i="5" s="1"/>
  <c r="BN129" i="5"/>
  <c r="BO129" i="5" s="1"/>
  <c r="BN252" i="5"/>
  <c r="BO252" i="5" s="1"/>
  <c r="AP182" i="5"/>
  <c r="AP219" i="5"/>
  <c r="BN287" i="5"/>
  <c r="BO287" i="5" s="1"/>
  <c r="BN244" i="5"/>
  <c r="BO244" i="5" s="1"/>
  <c r="BN30" i="5"/>
  <c r="BO30" i="5" s="1"/>
  <c r="BN522" i="5"/>
  <c r="BO522" i="5" s="1"/>
  <c r="BH337" i="5"/>
  <c r="BI337" i="5" s="1"/>
  <c r="AP127" i="5"/>
  <c r="AP354" i="5"/>
  <c r="AQ101" i="5"/>
  <c r="BH68" i="5"/>
  <c r="BI68" i="5" s="1"/>
  <c r="AP35" i="5"/>
  <c r="BH504" i="5"/>
  <c r="BJ504" i="5" s="1"/>
  <c r="AP59" i="5"/>
  <c r="AQ68" i="5"/>
  <c r="AQ35" i="5"/>
  <c r="BH59" i="5"/>
  <c r="BI59" i="5" s="1"/>
  <c r="AQ484" i="5"/>
  <c r="AP83" i="5"/>
  <c r="BN478" i="5"/>
  <c r="BO478" i="5" s="1"/>
  <c r="BN238" i="5"/>
  <c r="BO238" i="5" s="1"/>
  <c r="BN292" i="5"/>
  <c r="BO292" i="5" s="1"/>
  <c r="BN395" i="5"/>
  <c r="BO395" i="5" s="1"/>
  <c r="BN359" i="5"/>
  <c r="BO359" i="5" s="1"/>
  <c r="BN426" i="5"/>
  <c r="BO426" i="5" s="1"/>
  <c r="BN405" i="5"/>
  <c r="BO405" i="5" s="1"/>
  <c r="BN536" i="5"/>
  <c r="BO536" i="5" s="1"/>
  <c r="BN470" i="5"/>
  <c r="BO470" i="5" s="1"/>
  <c r="BN204" i="5"/>
  <c r="BO204" i="5" s="1"/>
  <c r="BN216" i="5"/>
  <c r="BO216" i="5" s="1"/>
  <c r="BN343" i="5"/>
  <c r="BO343" i="5" s="1"/>
  <c r="BH494" i="5"/>
  <c r="BJ494" i="5" s="1"/>
  <c r="AC9" i="5"/>
  <c r="AP391" i="5"/>
  <c r="BN60" i="5"/>
  <c r="BO60" i="5" s="1"/>
  <c r="AP363" i="5"/>
  <c r="AP197" i="5"/>
  <c r="BN221" i="5"/>
  <c r="BO221" i="5" s="1"/>
  <c r="BN209" i="5"/>
  <c r="BO209" i="5" s="1"/>
  <c r="BN373" i="5"/>
  <c r="BO373" i="5" s="1"/>
  <c r="AP413" i="5"/>
  <c r="AP230" i="5"/>
  <c r="BN455" i="5"/>
  <c r="BO455" i="5" s="1"/>
  <c r="BN430" i="5"/>
  <c r="BO430" i="5" s="1"/>
  <c r="AQ507" i="5"/>
  <c r="BH535" i="5"/>
  <c r="BJ535" i="5" s="1"/>
  <c r="AQ413" i="5"/>
  <c r="BH396" i="5"/>
  <c r="BJ396" i="5" s="1"/>
  <c r="BH57" i="5"/>
  <c r="BI57" i="5" s="1"/>
  <c r="AP322" i="5"/>
  <c r="AP282" i="5"/>
  <c r="BN274" i="5"/>
  <c r="BH507" i="5"/>
  <c r="BJ507" i="5" s="1"/>
  <c r="AQ535" i="5"/>
  <c r="AQ396" i="5"/>
  <c r="AP57" i="5"/>
  <c r="AQ322" i="5"/>
  <c r="AQ557" i="5"/>
  <c r="BN272" i="5"/>
  <c r="BO272" i="5" s="1"/>
  <c r="BN235" i="5"/>
  <c r="BO235" i="5" s="1"/>
  <c r="AP457" i="5"/>
  <c r="BH42" i="5"/>
  <c r="BI42" i="5" s="1"/>
  <c r="BN337" i="5"/>
  <c r="BN448" i="5"/>
  <c r="BO448" i="5" s="1"/>
  <c r="AP443" i="5"/>
  <c r="BH282" i="5"/>
  <c r="BI282" i="5" s="1"/>
  <c r="BN270" i="5"/>
  <c r="BN217" i="5"/>
  <c r="BO217" i="5" s="1"/>
  <c r="BN97" i="5"/>
  <c r="BO97" i="5" s="1"/>
  <c r="BN57" i="5"/>
  <c r="BO57" i="5" s="1"/>
  <c r="BN548" i="5"/>
  <c r="BO548" i="5" s="1"/>
  <c r="BN165" i="5"/>
  <c r="BO165" i="5" s="1"/>
  <c r="AP494" i="5"/>
  <c r="AQ197" i="5"/>
  <c r="AQ391" i="5"/>
  <c r="AP124" i="5"/>
  <c r="AQ363" i="5"/>
  <c r="BH124" i="5"/>
  <c r="BI124" i="5" s="1"/>
  <c r="BN521" i="5"/>
  <c r="BO521" i="5" s="1"/>
  <c r="BH321" i="5"/>
  <c r="BJ321" i="5" s="1"/>
  <c r="BN447" i="5"/>
  <c r="BO447" i="5" s="1"/>
  <c r="AQ321" i="5"/>
  <c r="BN32" i="5"/>
  <c r="BO32" i="5" s="1"/>
  <c r="BN362" i="5"/>
  <c r="BO362" i="5" s="1"/>
  <c r="BN200" i="5"/>
  <c r="BO200" i="5" s="1"/>
  <c r="BN161" i="5"/>
  <c r="BO161" i="5" s="1"/>
  <c r="BN185" i="5"/>
  <c r="BO185" i="5" s="1"/>
  <c r="BN319" i="5"/>
  <c r="BO319" i="5" s="1"/>
  <c r="BN214" i="5"/>
  <c r="BO214" i="5" s="1"/>
  <c r="BN490" i="5"/>
  <c r="BO490" i="5" s="1"/>
  <c r="BN137" i="5"/>
  <c r="BO137" i="5" s="1"/>
  <c r="BN531" i="5"/>
  <c r="BO531" i="5" s="1"/>
  <c r="BN328" i="5"/>
  <c r="BO328" i="5" s="1"/>
  <c r="BN401" i="5"/>
  <c r="BO401" i="5" s="1"/>
  <c r="BN526" i="5"/>
  <c r="BO526" i="5" s="1"/>
  <c r="BN558" i="5"/>
  <c r="BO558" i="5" s="1"/>
  <c r="BN330" i="5"/>
  <c r="BO330" i="5" s="1"/>
  <c r="BN513" i="5"/>
  <c r="BO513" i="5" s="1"/>
  <c r="BN547" i="5"/>
  <c r="BO547" i="5" s="1"/>
  <c r="BN480" i="5"/>
  <c r="BO480" i="5" s="1"/>
  <c r="BN443" i="5"/>
  <c r="BO443" i="5" s="1"/>
  <c r="BN333" i="5"/>
  <c r="BO333" i="5" s="1"/>
  <c r="BN492" i="5"/>
  <c r="BO492" i="5" s="1"/>
  <c r="BN360" i="5"/>
  <c r="BO360" i="5" s="1"/>
  <c r="BN256" i="5"/>
  <c r="BO256" i="5" s="1"/>
  <c r="BN258" i="5"/>
  <c r="BO258" i="5" s="1"/>
  <c r="BN532" i="5"/>
  <c r="BO532" i="5" s="1"/>
  <c r="BH131" i="5"/>
  <c r="BI131" i="5" s="1"/>
  <c r="BN188" i="5"/>
  <c r="BO188" i="5" s="1"/>
  <c r="BN215" i="5"/>
  <c r="BO215" i="5" s="1"/>
  <c r="BN329" i="5"/>
  <c r="BO329" i="5" s="1"/>
  <c r="BN420" i="5"/>
  <c r="BO420" i="5" s="1"/>
  <c r="BN40" i="5"/>
  <c r="BO40" i="5" s="1"/>
  <c r="BN463" i="5"/>
  <c r="BO463" i="5" s="1"/>
  <c r="BN109" i="5"/>
  <c r="BO109" i="5" s="1"/>
  <c r="BN434" i="5"/>
  <c r="BO434" i="5" s="1"/>
  <c r="BN479" i="5"/>
  <c r="BO479" i="5" s="1"/>
  <c r="BN442" i="5"/>
  <c r="BO442" i="5" s="1"/>
  <c r="BN255" i="5"/>
  <c r="BO255" i="5" s="1"/>
  <c r="BN199" i="5"/>
  <c r="BO199" i="5" s="1"/>
  <c r="BN311" i="5"/>
  <c r="BO311" i="5" s="1"/>
  <c r="BN538" i="5"/>
  <c r="BO538" i="5" s="1"/>
  <c r="AP131" i="5"/>
  <c r="BN370" i="5"/>
  <c r="BO370" i="5" s="1"/>
  <c r="BN203" i="5"/>
  <c r="BO203" i="5" s="1"/>
  <c r="BN471" i="5"/>
  <c r="BO471" i="5" s="1"/>
  <c r="BN133" i="5"/>
  <c r="BO133" i="5" s="1"/>
  <c r="BN523" i="5"/>
  <c r="BO523" i="5" s="1"/>
  <c r="BN393" i="5"/>
  <c r="BO393" i="5" s="1"/>
  <c r="BN404" i="5"/>
  <c r="BO404" i="5" s="1"/>
  <c r="BN171" i="5"/>
  <c r="BO171" i="5" s="1"/>
  <c r="BH90" i="5"/>
  <c r="BI90" i="5" s="1"/>
  <c r="AP555" i="5"/>
  <c r="BN58" i="5"/>
  <c r="BO58" i="5" s="1"/>
  <c r="BN73" i="5"/>
  <c r="BO73" i="5" s="1"/>
  <c r="BN183" i="5"/>
  <c r="BO183" i="5" s="1"/>
  <c r="AQ477" i="5"/>
  <c r="AP90" i="5"/>
  <c r="BH555" i="5"/>
  <c r="BJ555" i="5" s="1"/>
  <c r="BN365" i="5"/>
  <c r="BO365" i="5" s="1"/>
  <c r="BN208" i="5"/>
  <c r="BO208" i="5" s="1"/>
  <c r="BH477" i="5"/>
  <c r="BI477" i="5" s="1"/>
  <c r="AQ116" i="5"/>
  <c r="BH24" i="5"/>
  <c r="BJ24" i="5" s="1"/>
  <c r="BN305" i="5"/>
  <c r="BO305" i="5" s="1"/>
  <c r="BN406" i="5"/>
  <c r="BO406" i="5" s="1"/>
  <c r="BN511" i="5"/>
  <c r="BO511" i="5" s="1"/>
  <c r="AP116" i="5"/>
  <c r="AP24" i="5"/>
  <c r="BN153" i="5"/>
  <c r="BO153" i="5" s="1"/>
  <c r="BN155" i="5"/>
  <c r="BO155" i="5" s="1"/>
  <c r="BN431" i="5"/>
  <c r="BO431" i="5" s="1"/>
  <c r="BN303" i="5"/>
  <c r="BO303" i="5" s="1"/>
  <c r="BN424" i="5"/>
  <c r="BO424" i="5" s="1"/>
  <c r="BN364" i="5"/>
  <c r="BO364" i="5" s="1"/>
  <c r="BN148" i="5"/>
  <c r="BO148" i="5" s="1"/>
  <c r="BN435" i="5"/>
  <c r="BO435" i="5" s="1"/>
  <c r="BN444" i="5"/>
  <c r="BO444" i="5" s="1"/>
  <c r="BN205" i="5"/>
  <c r="BO205" i="5" s="1"/>
  <c r="BN496" i="5"/>
  <c r="BO496" i="5" s="1"/>
  <c r="BN308" i="5"/>
  <c r="BO308" i="5" s="1"/>
  <c r="BN418" i="5"/>
  <c r="BO418" i="5" s="1"/>
  <c r="BN445" i="5"/>
  <c r="BO445" i="5" s="1"/>
  <c r="BN295" i="5"/>
  <c r="BO295" i="5" s="1"/>
  <c r="BN248" i="5"/>
  <c r="BO248" i="5" s="1"/>
  <c r="BN90" i="5"/>
  <c r="BO90" i="5" s="1"/>
  <c r="BN374" i="5"/>
  <c r="BO374" i="5" s="1"/>
  <c r="BN551" i="5"/>
  <c r="BO551" i="5" s="1"/>
  <c r="BN206" i="5"/>
  <c r="BO206" i="5" s="1"/>
  <c r="BN269" i="5"/>
  <c r="BO269" i="5" s="1"/>
  <c r="BN486" i="5"/>
  <c r="BO486" i="5" s="1"/>
  <c r="BN300" i="5"/>
  <c r="BO300" i="5" s="1"/>
  <c r="BN449" i="5"/>
  <c r="BO449" i="5" s="1"/>
  <c r="BN59" i="5"/>
  <c r="BO59" i="5" s="1"/>
  <c r="BN120" i="5"/>
  <c r="BO120" i="5" s="1"/>
  <c r="BN149" i="5"/>
  <c r="BO149" i="5" s="1"/>
  <c r="BN164" i="5"/>
  <c r="BO164" i="5" s="1"/>
  <c r="BN156" i="5"/>
  <c r="BO156" i="5" s="1"/>
  <c r="BN230" i="5"/>
  <c r="BO230" i="5" s="1"/>
  <c r="BN118" i="5"/>
  <c r="BO118" i="5" s="1"/>
  <c r="BN541" i="5"/>
  <c r="BO541" i="5" s="1"/>
  <c r="BN446" i="5"/>
  <c r="BO446" i="5" s="1"/>
  <c r="BN416" i="5"/>
  <c r="BO416" i="5" s="1"/>
  <c r="BN520" i="5"/>
  <c r="BO520" i="5" s="1"/>
  <c r="BN162" i="5"/>
  <c r="BO162" i="5" s="1"/>
  <c r="BN347" i="5"/>
  <c r="BO347" i="5" s="1"/>
  <c r="BN312" i="5"/>
  <c r="BO312" i="5" s="1"/>
  <c r="BN501" i="5"/>
  <c r="BO501" i="5" s="1"/>
  <c r="BN222" i="5"/>
  <c r="BO222" i="5" s="1"/>
  <c r="BN237" i="5"/>
  <c r="BO237" i="5" s="1"/>
  <c r="BN394" i="5"/>
  <c r="BO394" i="5" s="1"/>
  <c r="BN396" i="5"/>
  <c r="BO396" i="5" s="1"/>
  <c r="BN363" i="5"/>
  <c r="BO363" i="5" s="1"/>
  <c r="BN425" i="5"/>
  <c r="BO425" i="5" s="1"/>
  <c r="BN469" i="5"/>
  <c r="BO469" i="5" s="1"/>
  <c r="BN291" i="5"/>
  <c r="BO291" i="5" s="1"/>
  <c r="BN487" i="5"/>
  <c r="BO487" i="5" s="1"/>
  <c r="BN89" i="5"/>
  <c r="BO89" i="5" s="1"/>
  <c r="BN338" i="5"/>
  <c r="BO338" i="5" s="1"/>
  <c r="BN326" i="5"/>
  <c r="BO326" i="5" s="1"/>
  <c r="BN485" i="5"/>
  <c r="BO485" i="5" s="1"/>
  <c r="BN285" i="5"/>
  <c r="BO285" i="5" s="1"/>
  <c r="BN245" i="5"/>
  <c r="BO245" i="5" s="1"/>
  <c r="BN191" i="5"/>
  <c r="BO191" i="5" s="1"/>
  <c r="BN111" i="5"/>
  <c r="BO111" i="5" s="1"/>
  <c r="BN169" i="5"/>
  <c r="BO169" i="5" s="1"/>
  <c r="BN472" i="5"/>
  <c r="BO472" i="5" s="1"/>
  <c r="BN313" i="5"/>
  <c r="BO313" i="5" s="1"/>
  <c r="BN491" i="5"/>
  <c r="BO491" i="5" s="1"/>
  <c r="BN62" i="5"/>
  <c r="BO62" i="5" s="1"/>
  <c r="BN243" i="5"/>
  <c r="BO243" i="5" s="1"/>
  <c r="BN477" i="5"/>
  <c r="BO477" i="5" s="1"/>
  <c r="BN138" i="5"/>
  <c r="BO138" i="5" s="1"/>
  <c r="BN261" i="5"/>
  <c r="BO261" i="5" s="1"/>
  <c r="BN342" i="5"/>
  <c r="BO342" i="5" s="1"/>
  <c r="BN117" i="5"/>
  <c r="BO117" i="5" s="1"/>
  <c r="BN519" i="5"/>
  <c r="BO519" i="5" s="1"/>
  <c r="BN502" i="5"/>
  <c r="BO502" i="5" s="1"/>
  <c r="BN527" i="5"/>
  <c r="BO527" i="5" s="1"/>
  <c r="BN61" i="5"/>
  <c r="BO61" i="5" s="1"/>
  <c r="BN189" i="5"/>
  <c r="BO189" i="5" s="1"/>
  <c r="BN251" i="5"/>
  <c r="BO251" i="5" s="1"/>
  <c r="BN277" i="5"/>
  <c r="BO277" i="5" s="1"/>
  <c r="BN44" i="5"/>
  <c r="BO44" i="5" s="1"/>
  <c r="BN306" i="5"/>
  <c r="BO306" i="5" s="1"/>
  <c r="BN239" i="5"/>
  <c r="BO239" i="5" s="1"/>
  <c r="BN267" i="5"/>
  <c r="BO267" i="5" s="1"/>
  <c r="BN33" i="5"/>
  <c r="BO33" i="5" s="1"/>
  <c r="BN147" i="5"/>
  <c r="BO147" i="5" s="1"/>
  <c r="BN500" i="5"/>
  <c r="BO500" i="5" s="1"/>
  <c r="BN369" i="5"/>
  <c r="BO369" i="5" s="1"/>
  <c r="BN154" i="5"/>
  <c r="BO154" i="5" s="1"/>
  <c r="BN400" i="5"/>
  <c r="BO400" i="5" s="1"/>
  <c r="BN413" i="5"/>
  <c r="BO413" i="5" s="1"/>
  <c r="BN166" i="5"/>
  <c r="BO166" i="5" s="1"/>
  <c r="BN218" i="5"/>
  <c r="BO218" i="5" s="1"/>
  <c r="BN163" i="5"/>
  <c r="BO163" i="5" s="1"/>
  <c r="BN336" i="5"/>
  <c r="BO336" i="5" s="1"/>
  <c r="BN273" i="5"/>
  <c r="BO273" i="5" s="1"/>
  <c r="BN106" i="5"/>
  <c r="BO106" i="5" s="1"/>
  <c r="BN540" i="5"/>
  <c r="BO540" i="5" s="1"/>
  <c r="BN93" i="5"/>
  <c r="BO93" i="5" s="1"/>
  <c r="BN29" i="5"/>
  <c r="BO29" i="5" s="1"/>
  <c r="BN552" i="5"/>
  <c r="BO552" i="5" s="1"/>
  <c r="BN286" i="5"/>
  <c r="BO286" i="5" s="1"/>
  <c r="BN192" i="5"/>
  <c r="BO192" i="5" s="1"/>
  <c r="AP148" i="5"/>
  <c r="BN421" i="5"/>
  <c r="BO421" i="5" s="1"/>
  <c r="BN174" i="5"/>
  <c r="BO174" i="5" s="1"/>
  <c r="BN341" i="5"/>
  <c r="BO341" i="5" s="1"/>
  <c r="BN460" i="5"/>
  <c r="BO460" i="5" s="1"/>
  <c r="BN77" i="5"/>
  <c r="BO77" i="5" s="1"/>
  <c r="BN142" i="5"/>
  <c r="BO142" i="5" s="1"/>
  <c r="BN327" i="5"/>
  <c r="BO327" i="5" s="1"/>
  <c r="BN361" i="5"/>
  <c r="BO361" i="5" s="1"/>
  <c r="BN512" i="5"/>
  <c r="BO512" i="5" s="1"/>
  <c r="BN250" i="5"/>
  <c r="BO250" i="5" s="1"/>
  <c r="BN84" i="5"/>
  <c r="BO84" i="5" s="1"/>
  <c r="BN407" i="5"/>
  <c r="BO407" i="5" s="1"/>
  <c r="BN234" i="5"/>
  <c r="BO234" i="5" s="1"/>
  <c r="BN271" i="5"/>
  <c r="BN384" i="5"/>
  <c r="BO384" i="5" s="1"/>
  <c r="BN268" i="5"/>
  <c r="BO268" i="5" s="1"/>
  <c r="BN281" i="5"/>
  <c r="BO281" i="5" s="1"/>
  <c r="BN452" i="5"/>
  <c r="BO452" i="5" s="1"/>
  <c r="BN322" i="5"/>
  <c r="BO322" i="5" s="1"/>
  <c r="BN130" i="5"/>
  <c r="BO130" i="5" s="1"/>
  <c r="BN53" i="5"/>
  <c r="BO53" i="5" s="1"/>
  <c r="BN54" i="5"/>
  <c r="BO54" i="5" s="1"/>
  <c r="BN288" i="5"/>
  <c r="BO288" i="5" s="1"/>
  <c r="BN175" i="5"/>
  <c r="BO175" i="5" s="1"/>
  <c r="BN78" i="5"/>
  <c r="BO78" i="5" s="1"/>
  <c r="BN399" i="5"/>
  <c r="BO399" i="5" s="1"/>
  <c r="BN419" i="5"/>
  <c r="BO419" i="5" s="1"/>
  <c r="BN159" i="5"/>
  <c r="BO159" i="5" s="1"/>
  <c r="BN257" i="5"/>
  <c r="BO257" i="5" s="1"/>
  <c r="BN74" i="5"/>
  <c r="BO74" i="5" s="1"/>
  <c r="BN160" i="5"/>
  <c r="BO160" i="5" s="1"/>
  <c r="BN177" i="5"/>
  <c r="BO177" i="5" s="1"/>
  <c r="BN544" i="5"/>
  <c r="BO544" i="5" s="1"/>
  <c r="BN537" i="5"/>
  <c r="BO537" i="5" s="1"/>
  <c r="BN207" i="5"/>
  <c r="BO207" i="5" s="1"/>
  <c r="BN385" i="5"/>
  <c r="BO385" i="5" s="1"/>
  <c r="BN464" i="5"/>
  <c r="BO464" i="5" s="1"/>
  <c r="BN220" i="5"/>
  <c r="BO220" i="5" s="1"/>
  <c r="BN143" i="5"/>
  <c r="BO143" i="5" s="1"/>
  <c r="BN304" i="5"/>
  <c r="BO304" i="5" s="1"/>
  <c r="BN170" i="5"/>
  <c r="BO170" i="5" s="1"/>
  <c r="BN493" i="5"/>
  <c r="BO493" i="5" s="1"/>
  <c r="BH262" i="5"/>
  <c r="BJ262" i="5" s="1"/>
  <c r="BH313" i="5"/>
  <c r="AP313" i="5"/>
  <c r="AQ313" i="5"/>
  <c r="AP343" i="5"/>
  <c r="BH343" i="5"/>
  <c r="AQ343" i="5"/>
  <c r="AP492" i="5"/>
  <c r="AQ492" i="5"/>
  <c r="BH492" i="5"/>
  <c r="AQ399" i="5"/>
  <c r="BH399" i="5"/>
  <c r="AP399" i="5"/>
  <c r="AQ176" i="5"/>
  <c r="AP176" i="5"/>
  <c r="BH176" i="5"/>
  <c r="BH47" i="5"/>
  <c r="AQ47" i="5"/>
  <c r="AP47" i="5"/>
  <c r="AP546" i="5"/>
  <c r="BH546" i="5"/>
  <c r="AQ546" i="5"/>
  <c r="BH392" i="5"/>
  <c r="AP392" i="5"/>
  <c r="AQ392" i="5"/>
  <c r="AQ11" i="5"/>
  <c r="BH11" i="5"/>
  <c r="AP11" i="5"/>
  <c r="BH388" i="5"/>
  <c r="AP388" i="5"/>
  <c r="AQ388" i="5"/>
  <c r="BH533" i="5"/>
  <c r="AQ533" i="5"/>
  <c r="AP533" i="5"/>
  <c r="AQ485" i="5"/>
  <c r="BH485" i="5"/>
  <c r="AP485" i="5"/>
  <c r="AQ7" i="5"/>
  <c r="AP7" i="5"/>
  <c r="AQ86" i="5"/>
  <c r="BH86" i="5"/>
  <c r="AP86" i="5"/>
  <c r="BH223" i="5"/>
  <c r="AP223" i="5"/>
  <c r="AQ223" i="5"/>
  <c r="AP193" i="5"/>
  <c r="BH193" i="5"/>
  <c r="AQ193" i="5"/>
  <c r="AP133" i="5"/>
  <c r="AQ133" i="5"/>
  <c r="BH133" i="5"/>
  <c r="AQ524" i="5"/>
  <c r="BH524" i="5"/>
  <c r="AP524" i="5"/>
  <c r="BH295" i="5"/>
  <c r="AQ295" i="5"/>
  <c r="AP295" i="5"/>
  <c r="BH261" i="5"/>
  <c r="AQ261" i="5"/>
  <c r="AP261" i="5"/>
  <c r="BH195" i="5"/>
  <c r="AP195" i="5"/>
  <c r="AQ195" i="5"/>
  <c r="AQ154" i="5"/>
  <c r="AP154" i="5"/>
  <c r="BH154" i="5"/>
  <c r="AQ386" i="5"/>
  <c r="BH386" i="5"/>
  <c r="AP386" i="5"/>
  <c r="AQ111" i="5"/>
  <c r="BH111" i="5"/>
  <c r="AP111" i="5"/>
  <c r="BH239" i="5"/>
  <c r="AP239" i="5"/>
  <c r="AQ239" i="5"/>
  <c r="AP43" i="5"/>
  <c r="BH43" i="5"/>
  <c r="AQ43" i="5"/>
  <c r="BH487" i="5"/>
  <c r="AP487" i="5"/>
  <c r="AQ487" i="5"/>
  <c r="AQ254" i="5"/>
  <c r="AP254" i="5"/>
  <c r="BH254" i="5"/>
  <c r="AQ157" i="5"/>
  <c r="BH157" i="5"/>
  <c r="AP157" i="5"/>
  <c r="AQ374" i="5"/>
  <c r="BH374" i="5"/>
  <c r="AP374" i="5"/>
  <c r="AP152" i="5"/>
  <c r="BH152" i="5"/>
  <c r="AQ152" i="5"/>
  <c r="BH384" i="5"/>
  <c r="AP384" i="5"/>
  <c r="AQ384" i="5"/>
  <c r="BH373" i="5"/>
  <c r="AQ373" i="5"/>
  <c r="AP373" i="5"/>
  <c r="AP344" i="5"/>
  <c r="AQ344" i="5"/>
  <c r="BH344" i="5"/>
  <c r="AQ64" i="5"/>
  <c r="BH64" i="5"/>
  <c r="AP64" i="5"/>
  <c r="BH389" i="5"/>
  <c r="AP389" i="5"/>
  <c r="AQ389" i="5"/>
  <c r="AQ323" i="5"/>
  <c r="AP323" i="5"/>
  <c r="BH323" i="5"/>
  <c r="BH145" i="5"/>
  <c r="AP145" i="5"/>
  <c r="AQ145" i="5"/>
  <c r="AQ216" i="5"/>
  <c r="AP216" i="5"/>
  <c r="BH216" i="5"/>
  <c r="BH448" i="5"/>
  <c r="AQ448" i="5"/>
  <c r="AP448" i="5"/>
  <c r="BH437" i="5"/>
  <c r="AQ437" i="5"/>
  <c r="AP437" i="5"/>
  <c r="AP377" i="5"/>
  <c r="BH377" i="5"/>
  <c r="AQ377" i="5"/>
  <c r="BH97" i="5"/>
  <c r="AP97" i="5"/>
  <c r="AQ97" i="5"/>
  <c r="AQ420" i="5"/>
  <c r="AP420" i="5"/>
  <c r="BH420" i="5"/>
  <c r="AP135" i="5"/>
  <c r="BH135" i="5"/>
  <c r="AQ135" i="5"/>
  <c r="AP50" i="5"/>
  <c r="AQ50" i="5"/>
  <c r="BH50" i="5"/>
  <c r="AP231" i="5"/>
  <c r="AQ231" i="5"/>
  <c r="BH231" i="5"/>
  <c r="BH439" i="5"/>
  <c r="AQ439" i="5"/>
  <c r="AP439" i="5"/>
  <c r="AP468" i="5"/>
  <c r="AQ468" i="5"/>
  <c r="BH468" i="5"/>
  <c r="AP408" i="5"/>
  <c r="AQ408" i="5"/>
  <c r="BH408" i="5"/>
  <c r="AQ128" i="5"/>
  <c r="AP128" i="5"/>
  <c r="BH128" i="5"/>
  <c r="AP362" i="5"/>
  <c r="BH362" i="5"/>
  <c r="AQ362" i="5"/>
  <c r="AQ296" i="5"/>
  <c r="AP296" i="5"/>
  <c r="BH296" i="5"/>
  <c r="BH302" i="5"/>
  <c r="AP302" i="5"/>
  <c r="AQ302" i="5"/>
  <c r="BH236" i="5"/>
  <c r="AQ236" i="5"/>
  <c r="AP236" i="5"/>
  <c r="BH22" i="5"/>
  <c r="AP22" i="5"/>
  <c r="AQ22" i="5"/>
  <c r="AQ474" i="5"/>
  <c r="BH474" i="5"/>
  <c r="AP474" i="5"/>
  <c r="BH210" i="5"/>
  <c r="AP210" i="5"/>
  <c r="AQ210" i="5"/>
  <c r="BH456" i="5"/>
  <c r="AQ456" i="5"/>
  <c r="AP456" i="5"/>
  <c r="AQ151" i="5"/>
  <c r="AP151" i="5"/>
  <c r="BH151" i="5"/>
  <c r="AQ465" i="5"/>
  <c r="AP465" i="5"/>
  <c r="BH465" i="5"/>
  <c r="AQ360" i="5"/>
  <c r="AP360" i="5"/>
  <c r="BH360" i="5"/>
  <c r="BH366" i="5"/>
  <c r="AP366" i="5"/>
  <c r="AQ366" i="5"/>
  <c r="BH300" i="5"/>
  <c r="AP300" i="5"/>
  <c r="AQ300" i="5"/>
  <c r="AQ334" i="5"/>
  <c r="BH334" i="5"/>
  <c r="AP334" i="5"/>
  <c r="AQ315" i="5"/>
  <c r="BH315" i="5"/>
  <c r="AP315" i="5"/>
  <c r="AP483" i="5"/>
  <c r="AQ483" i="5"/>
  <c r="BH483" i="5"/>
  <c r="AQ503" i="5"/>
  <c r="BH503" i="5"/>
  <c r="AP503" i="5"/>
  <c r="BH530" i="5"/>
  <c r="AP530" i="5"/>
  <c r="AQ530" i="5"/>
  <c r="BH29" i="5"/>
  <c r="AP29" i="5"/>
  <c r="AQ29" i="5"/>
  <c r="BH444" i="5"/>
  <c r="AP444" i="5"/>
  <c r="AQ444" i="5"/>
  <c r="AP347" i="5"/>
  <c r="AQ347" i="5"/>
  <c r="BH347" i="5"/>
  <c r="AP412" i="5"/>
  <c r="BH412" i="5"/>
  <c r="AQ412" i="5"/>
  <c r="AP37" i="5"/>
  <c r="BH37" i="5"/>
  <c r="AQ37" i="5"/>
  <c r="AP553" i="5"/>
  <c r="BH553" i="5"/>
  <c r="AQ553" i="5"/>
  <c r="BH30" i="5"/>
  <c r="AP30" i="5"/>
  <c r="AQ30" i="5"/>
  <c r="BH229" i="5"/>
  <c r="AQ229" i="5"/>
  <c r="AP229" i="5"/>
  <c r="BI413" i="5"/>
  <c r="BJ413" i="5"/>
  <c r="BJ83" i="5"/>
  <c r="BI83" i="5"/>
  <c r="AQ283" i="5"/>
  <c r="AP283" i="5"/>
  <c r="BH283" i="5"/>
  <c r="BJ101" i="5"/>
  <c r="BI101" i="5"/>
  <c r="AP309" i="5"/>
  <c r="AQ309" i="5"/>
  <c r="BH309" i="5"/>
  <c r="BJ250" i="5"/>
  <c r="BI250" i="5"/>
  <c r="AP318" i="5"/>
  <c r="AQ318" i="5"/>
  <c r="BH318" i="5"/>
  <c r="AQ353" i="5"/>
  <c r="AP353" i="5"/>
  <c r="BH353" i="5"/>
  <c r="AP244" i="5"/>
  <c r="BH244" i="5"/>
  <c r="AQ244" i="5"/>
  <c r="AQ551" i="5"/>
  <c r="AP551" i="5"/>
  <c r="BH551" i="5"/>
  <c r="AP352" i="5"/>
  <c r="AQ352" i="5"/>
  <c r="BH352" i="5"/>
  <c r="AQ330" i="5"/>
  <c r="AP330" i="5"/>
  <c r="BH330" i="5"/>
  <c r="AQ10" i="5"/>
  <c r="AP10" i="5"/>
  <c r="BH10" i="5"/>
  <c r="AP163" i="5"/>
  <c r="AQ163" i="5"/>
  <c r="BH163" i="5"/>
  <c r="BH125" i="5"/>
  <c r="AP125" i="5"/>
  <c r="AQ125" i="5"/>
  <c r="BH480" i="5"/>
  <c r="AP480" i="5"/>
  <c r="AQ480" i="5"/>
  <c r="AP200" i="5"/>
  <c r="BH200" i="5"/>
  <c r="AQ200" i="5"/>
  <c r="AP517" i="5"/>
  <c r="AQ517" i="5"/>
  <c r="BH517" i="5"/>
  <c r="AP559" i="5"/>
  <c r="AQ559" i="5"/>
  <c r="BH559" i="5"/>
  <c r="AP467" i="5"/>
  <c r="AQ467" i="5"/>
  <c r="BH467" i="5"/>
  <c r="AQ441" i="5"/>
  <c r="BH441" i="5"/>
  <c r="AP441" i="5"/>
  <c r="AP54" i="5"/>
  <c r="AQ54" i="5"/>
  <c r="BH54" i="5"/>
  <c r="AP538" i="5"/>
  <c r="BH538" i="5"/>
  <c r="AQ538" i="5"/>
  <c r="AQ218" i="5"/>
  <c r="AP218" i="5"/>
  <c r="BH218" i="5"/>
  <c r="AP407" i="5"/>
  <c r="AQ407" i="5"/>
  <c r="BH407" i="5"/>
  <c r="BH332" i="5"/>
  <c r="AP332" i="5"/>
  <c r="AQ332" i="5"/>
  <c r="AQ305" i="5"/>
  <c r="AP305" i="5"/>
  <c r="BH305" i="5"/>
  <c r="AP49" i="5"/>
  <c r="BH49" i="5"/>
  <c r="AQ49" i="5"/>
  <c r="BH382" i="5"/>
  <c r="AQ382" i="5"/>
  <c r="AP382" i="5"/>
  <c r="BH285" i="5"/>
  <c r="AQ285" i="5"/>
  <c r="AP285" i="5"/>
  <c r="AP188" i="5"/>
  <c r="AQ188" i="5"/>
  <c r="BH188" i="5"/>
  <c r="AQ466" i="5"/>
  <c r="BH466" i="5"/>
  <c r="AP466" i="5"/>
  <c r="AQ99" i="5"/>
  <c r="BH99" i="5"/>
  <c r="AP99" i="5"/>
  <c r="AQ72" i="5"/>
  <c r="BH72" i="5"/>
  <c r="AP72" i="5"/>
  <c r="AP92" i="5"/>
  <c r="AQ92" i="5"/>
  <c r="BH92" i="5"/>
  <c r="AQ291" i="5"/>
  <c r="AP291" i="5"/>
  <c r="BH291" i="5"/>
  <c r="AP277" i="5"/>
  <c r="AQ277" i="5"/>
  <c r="BH277" i="5"/>
  <c r="BH211" i="5"/>
  <c r="AQ211" i="5"/>
  <c r="AP211" i="5"/>
  <c r="AP137" i="5"/>
  <c r="BH137" i="5"/>
  <c r="AQ137" i="5"/>
  <c r="BH527" i="5"/>
  <c r="AP527" i="5"/>
  <c r="AQ527" i="5"/>
  <c r="BH464" i="5"/>
  <c r="AP464" i="5"/>
  <c r="AQ464" i="5"/>
  <c r="AP89" i="5"/>
  <c r="BH89" i="5"/>
  <c r="AQ89" i="5"/>
  <c r="AP78" i="5"/>
  <c r="AQ78" i="5"/>
  <c r="BH78" i="5"/>
  <c r="AP113" i="5"/>
  <c r="BH113" i="5"/>
  <c r="AQ113" i="5"/>
  <c r="AQ312" i="5"/>
  <c r="AP312" i="5"/>
  <c r="BH312" i="5"/>
  <c r="AQ31" i="5"/>
  <c r="AP31" i="5"/>
  <c r="BH31" i="5"/>
  <c r="AQ126" i="5"/>
  <c r="BH126" i="5"/>
  <c r="AP126" i="5"/>
  <c r="AP438" i="5"/>
  <c r="AQ438" i="5"/>
  <c r="BH438" i="5"/>
  <c r="AQ528" i="5"/>
  <c r="BH528" i="5"/>
  <c r="AP528" i="5"/>
  <c r="BH153" i="5"/>
  <c r="AQ153" i="5"/>
  <c r="AP153" i="5"/>
  <c r="AQ142" i="5"/>
  <c r="BH142" i="5"/>
  <c r="AP142" i="5"/>
  <c r="BH146" i="5"/>
  <c r="AP146" i="5"/>
  <c r="AQ146" i="5"/>
  <c r="AP345" i="5"/>
  <c r="AQ345" i="5"/>
  <c r="BH345" i="5"/>
  <c r="BH87" i="5"/>
  <c r="AQ87" i="5"/>
  <c r="AP87" i="5"/>
  <c r="AQ191" i="5"/>
  <c r="AP191" i="5"/>
  <c r="BH191" i="5"/>
  <c r="AQ469" i="5"/>
  <c r="BH469" i="5"/>
  <c r="AP469" i="5"/>
  <c r="AP8" i="5"/>
  <c r="BH8" i="5"/>
  <c r="AQ8" i="5"/>
  <c r="AP184" i="5"/>
  <c r="AQ184" i="5"/>
  <c r="BH184" i="5"/>
  <c r="AP173" i="5"/>
  <c r="AQ173" i="5"/>
  <c r="BH173" i="5"/>
  <c r="AQ177" i="5"/>
  <c r="AP177" i="5"/>
  <c r="BH177" i="5"/>
  <c r="AP376" i="5"/>
  <c r="BH376" i="5"/>
  <c r="AQ376" i="5"/>
  <c r="BH139" i="5"/>
  <c r="AQ139" i="5"/>
  <c r="AP139" i="5"/>
  <c r="AQ65" i="5"/>
  <c r="AP65" i="5"/>
  <c r="BH65" i="5"/>
  <c r="AP455" i="5"/>
  <c r="BH455" i="5"/>
  <c r="AQ455" i="5"/>
  <c r="AQ548" i="5"/>
  <c r="BH548" i="5"/>
  <c r="AP548" i="5"/>
  <c r="AQ270" i="5"/>
  <c r="AP270" i="5"/>
  <c r="BH270" i="5"/>
  <c r="AP251" i="5"/>
  <c r="BH251" i="5"/>
  <c r="AQ251" i="5"/>
  <c r="AP458" i="5"/>
  <c r="AQ458" i="5"/>
  <c r="BH458" i="5"/>
  <c r="BH161" i="5"/>
  <c r="AQ161" i="5"/>
  <c r="AP161" i="5"/>
  <c r="AQ453" i="5"/>
  <c r="AP453" i="5"/>
  <c r="BH453" i="5"/>
  <c r="AP403" i="5"/>
  <c r="AQ403" i="5"/>
  <c r="BH403" i="5"/>
  <c r="AQ129" i="5"/>
  <c r="AP129" i="5"/>
  <c r="BH129" i="5"/>
  <c r="AQ463" i="5"/>
  <c r="BH463" i="5"/>
  <c r="AP463" i="5"/>
  <c r="AP69" i="5"/>
  <c r="AQ69" i="5"/>
  <c r="BH69" i="5"/>
  <c r="AQ199" i="5"/>
  <c r="AP199" i="5"/>
  <c r="BH199" i="5"/>
  <c r="BH20" i="5"/>
  <c r="AQ20" i="5"/>
  <c r="AP20" i="5"/>
  <c r="AP472" i="5"/>
  <c r="BH472" i="5"/>
  <c r="AQ472" i="5"/>
  <c r="AQ192" i="5"/>
  <c r="AP192" i="5"/>
  <c r="BH192" i="5"/>
  <c r="BH243" i="5"/>
  <c r="AP243" i="5"/>
  <c r="AQ243" i="5"/>
  <c r="BH155" i="5"/>
  <c r="AP155" i="5"/>
  <c r="AQ155" i="5"/>
  <c r="AP23" i="5"/>
  <c r="BH23" i="5"/>
  <c r="AQ23" i="5"/>
  <c r="AP85" i="5"/>
  <c r="AQ85" i="5"/>
  <c r="BH85" i="5"/>
  <c r="BH554" i="5"/>
  <c r="AP554" i="5"/>
  <c r="AQ554" i="5"/>
  <c r="BH117" i="5"/>
  <c r="AP117" i="5"/>
  <c r="AQ117" i="5"/>
  <c r="AP26" i="5"/>
  <c r="BH26" i="5"/>
  <c r="AQ26" i="5"/>
  <c r="AQ258" i="5"/>
  <c r="BH258" i="5"/>
  <c r="AP258" i="5"/>
  <c r="BH278" i="5"/>
  <c r="AQ278" i="5"/>
  <c r="AP278" i="5"/>
  <c r="AP249" i="5"/>
  <c r="AQ249" i="5"/>
  <c r="BH249" i="5"/>
  <c r="BJ457" i="5"/>
  <c r="BI457" i="5"/>
  <c r="AQ446" i="5"/>
  <c r="BH446" i="5"/>
  <c r="AP446" i="5"/>
  <c r="AQ33" i="5"/>
  <c r="AP33" i="5"/>
  <c r="BH33" i="5"/>
  <c r="AP202" i="5"/>
  <c r="BH202" i="5"/>
  <c r="AQ202" i="5"/>
  <c r="AP418" i="5"/>
  <c r="AQ418" i="5"/>
  <c r="BH418" i="5"/>
  <c r="AQ39" i="5"/>
  <c r="BH39" i="5"/>
  <c r="AP39" i="5"/>
  <c r="AQ259" i="5"/>
  <c r="AP259" i="5"/>
  <c r="BH259" i="5"/>
  <c r="AP324" i="5"/>
  <c r="AQ324" i="5"/>
  <c r="BH324" i="5"/>
  <c r="AP486" i="5"/>
  <c r="AQ486" i="5"/>
  <c r="BH486" i="5"/>
  <c r="AQ357" i="5"/>
  <c r="BH357" i="5"/>
  <c r="AP357" i="5"/>
  <c r="AQ34" i="5"/>
  <c r="BH34" i="5"/>
  <c r="AP34" i="5"/>
  <c r="AP159" i="5"/>
  <c r="BH159" i="5"/>
  <c r="AQ159" i="5"/>
  <c r="BH432" i="5"/>
  <c r="AQ432" i="5"/>
  <c r="AP432" i="5"/>
  <c r="BH317" i="5"/>
  <c r="AQ317" i="5"/>
  <c r="AP317" i="5"/>
  <c r="BJ165" i="5"/>
  <c r="BI165" i="5"/>
  <c r="AQ304" i="5"/>
  <c r="BH304" i="5"/>
  <c r="AP304" i="5"/>
  <c r="BH531" i="5"/>
  <c r="AQ531" i="5"/>
  <c r="AP531" i="5"/>
  <c r="BH235" i="5"/>
  <c r="AP235" i="5"/>
  <c r="AQ235" i="5"/>
  <c r="BC9" i="5"/>
  <c r="BD9" i="5"/>
  <c r="AQ67" i="5"/>
  <c r="AP67" i="5"/>
  <c r="BH67" i="5"/>
  <c r="BH473" i="5"/>
  <c r="AQ473" i="5"/>
  <c r="AP473" i="5"/>
  <c r="BJ116" i="5"/>
  <c r="BI116" i="5"/>
  <c r="BH209" i="5"/>
  <c r="AP209" i="5"/>
  <c r="AQ209" i="5"/>
  <c r="BH213" i="5"/>
  <c r="AQ213" i="5"/>
  <c r="AP213" i="5"/>
  <c r="BH147" i="5"/>
  <c r="AQ147" i="5"/>
  <c r="AP147" i="5"/>
  <c r="AP73" i="5"/>
  <c r="AQ73" i="5"/>
  <c r="BH73" i="5"/>
  <c r="BH179" i="5"/>
  <c r="AQ179" i="5"/>
  <c r="AP179" i="5"/>
  <c r="AQ88" i="5"/>
  <c r="AP88" i="5"/>
  <c r="BH88" i="5"/>
  <c r="AP320" i="5"/>
  <c r="AQ320" i="5"/>
  <c r="BH320" i="5"/>
  <c r="AP340" i="5"/>
  <c r="BH340" i="5"/>
  <c r="AQ340" i="5"/>
  <c r="AQ175" i="5"/>
  <c r="BH175" i="5"/>
  <c r="AP175" i="5"/>
  <c r="AP46" i="5"/>
  <c r="AQ46" i="5"/>
  <c r="BH46" i="5"/>
  <c r="AP523" i="5"/>
  <c r="BH523" i="5"/>
  <c r="AQ523" i="5"/>
  <c r="BH449" i="5"/>
  <c r="AP449" i="5"/>
  <c r="AQ449" i="5"/>
  <c r="AP183" i="5"/>
  <c r="AQ183" i="5"/>
  <c r="BH183" i="5"/>
  <c r="AP169" i="5"/>
  <c r="AQ169" i="5"/>
  <c r="BH169" i="5"/>
  <c r="AP158" i="5"/>
  <c r="BH158" i="5"/>
  <c r="AQ158" i="5"/>
  <c r="AQ326" i="5"/>
  <c r="AP326" i="5"/>
  <c r="BH326" i="5"/>
  <c r="AQ361" i="5"/>
  <c r="AP361" i="5"/>
  <c r="BH361" i="5"/>
  <c r="BH431" i="5"/>
  <c r="AQ431" i="5"/>
  <c r="AP431" i="5"/>
  <c r="BH275" i="5"/>
  <c r="AQ275" i="5"/>
  <c r="AP275" i="5"/>
  <c r="AQ201" i="5"/>
  <c r="AP201" i="5"/>
  <c r="BH201" i="5"/>
  <c r="AQ471" i="5"/>
  <c r="AP471" i="5"/>
  <c r="BH471" i="5"/>
  <c r="AP233" i="5"/>
  <c r="AQ233" i="5"/>
  <c r="BH233" i="5"/>
  <c r="AQ222" i="5"/>
  <c r="AP222" i="5"/>
  <c r="BH222" i="5"/>
  <c r="AQ390" i="5"/>
  <c r="AP390" i="5"/>
  <c r="BH390" i="5"/>
  <c r="BH394" i="5"/>
  <c r="AQ394" i="5"/>
  <c r="AP394" i="5"/>
  <c r="BH445" i="5"/>
  <c r="AP445" i="5"/>
  <c r="AQ445" i="5"/>
  <c r="AP112" i="5"/>
  <c r="AQ112" i="5"/>
  <c r="BH112" i="5"/>
  <c r="AQ298" i="5"/>
  <c r="AP298" i="5"/>
  <c r="BH298" i="5"/>
  <c r="AQ232" i="5"/>
  <c r="AP232" i="5"/>
  <c r="BH232" i="5"/>
  <c r="AP238" i="5"/>
  <c r="AQ238" i="5"/>
  <c r="BH238" i="5"/>
  <c r="AP264" i="5"/>
  <c r="BH264" i="5"/>
  <c r="AQ264" i="5"/>
  <c r="AQ253" i="5"/>
  <c r="BH253" i="5"/>
  <c r="AP253" i="5"/>
  <c r="AP421" i="5"/>
  <c r="AQ421" i="5"/>
  <c r="BH421" i="5"/>
  <c r="AQ425" i="5"/>
  <c r="AP425" i="5"/>
  <c r="BH425" i="5"/>
  <c r="AQ476" i="5"/>
  <c r="AP476" i="5"/>
  <c r="BH476" i="5"/>
  <c r="BH451" i="5"/>
  <c r="AQ451" i="5"/>
  <c r="AP451" i="5"/>
  <c r="BH91" i="5"/>
  <c r="AQ91" i="5"/>
  <c r="AP91" i="5"/>
  <c r="BH498" i="5"/>
  <c r="AQ498" i="5"/>
  <c r="AP498" i="5"/>
  <c r="AQ350" i="5"/>
  <c r="AP350" i="5"/>
  <c r="BH350" i="5"/>
  <c r="AP518" i="5"/>
  <c r="AQ518" i="5"/>
  <c r="BH518" i="5"/>
  <c r="BH171" i="5"/>
  <c r="AP171" i="5"/>
  <c r="AQ171" i="5"/>
  <c r="BH409" i="5"/>
  <c r="AQ409" i="5"/>
  <c r="AP409" i="5"/>
  <c r="BH172" i="5"/>
  <c r="AQ172" i="5"/>
  <c r="AP172" i="5"/>
  <c r="AP60" i="5"/>
  <c r="AQ60" i="5"/>
  <c r="BH60" i="5"/>
  <c r="AQ475" i="5"/>
  <c r="AP475" i="5"/>
  <c r="BH475" i="5"/>
  <c r="BH370" i="5"/>
  <c r="AQ370" i="5"/>
  <c r="AP370" i="5"/>
  <c r="BH203" i="5"/>
  <c r="AP203" i="5"/>
  <c r="AQ203" i="5"/>
  <c r="AQ268" i="5"/>
  <c r="BH268" i="5"/>
  <c r="AP268" i="5"/>
  <c r="AQ241" i="5"/>
  <c r="BH241" i="5"/>
  <c r="AP241" i="5"/>
  <c r="AP440" i="5"/>
  <c r="AQ440" i="5"/>
  <c r="BH440" i="5"/>
  <c r="AQ491" i="5"/>
  <c r="BH491" i="5"/>
  <c r="AP491" i="5"/>
  <c r="AP401" i="5"/>
  <c r="BH401" i="5"/>
  <c r="AQ401" i="5"/>
  <c r="BH247" i="5"/>
  <c r="AQ247" i="5"/>
  <c r="AP247" i="5"/>
  <c r="BH397" i="5"/>
  <c r="AQ397" i="5"/>
  <c r="AP397" i="5"/>
  <c r="BH331" i="5"/>
  <c r="AQ331" i="5"/>
  <c r="AP331" i="5"/>
  <c r="AP365" i="5"/>
  <c r="BH365" i="5"/>
  <c r="AQ365" i="5"/>
  <c r="BH338" i="5"/>
  <c r="AQ338" i="5"/>
  <c r="AP338" i="5"/>
  <c r="AQ506" i="5"/>
  <c r="AP506" i="5"/>
  <c r="BH506" i="5"/>
  <c r="BH526" i="5"/>
  <c r="AP526" i="5"/>
  <c r="AQ526" i="5"/>
  <c r="AP19" i="5"/>
  <c r="AQ19" i="5"/>
  <c r="BH19" i="5"/>
  <c r="BI349" i="5"/>
  <c r="BJ349" i="5"/>
  <c r="BJ148" i="5"/>
  <c r="BI148" i="5"/>
  <c r="BI363" i="5"/>
  <c r="BJ363" i="5"/>
  <c r="AP294" i="5"/>
  <c r="AQ294" i="5"/>
  <c r="BH294" i="5"/>
  <c r="AQ423" i="5"/>
  <c r="AP423" i="5"/>
  <c r="BH423" i="5"/>
  <c r="AP170" i="5"/>
  <c r="BH170" i="5"/>
  <c r="AQ170" i="5"/>
  <c r="AP558" i="5"/>
  <c r="BH558" i="5"/>
  <c r="AQ558" i="5"/>
  <c r="AP138" i="5"/>
  <c r="AQ138" i="5"/>
  <c r="BH138" i="5"/>
  <c r="BH325" i="5"/>
  <c r="AP325" i="5"/>
  <c r="AQ325" i="5"/>
  <c r="BH136" i="5"/>
  <c r="AQ136" i="5"/>
  <c r="AP136" i="5"/>
  <c r="AP77" i="5"/>
  <c r="BH77" i="5"/>
  <c r="AQ77" i="5"/>
  <c r="BH189" i="5"/>
  <c r="AQ189" i="5"/>
  <c r="AP189" i="5"/>
  <c r="BH108" i="5"/>
  <c r="AP108" i="5"/>
  <c r="AQ108" i="5"/>
  <c r="AP220" i="5"/>
  <c r="AQ220" i="5"/>
  <c r="BH220" i="5"/>
  <c r="AP9" i="5"/>
  <c r="AQ9" i="5"/>
  <c r="BH9" i="5"/>
  <c r="AP462" i="5"/>
  <c r="AQ462" i="5"/>
  <c r="BH462" i="5"/>
  <c r="AQ242" i="5"/>
  <c r="AP242" i="5"/>
  <c r="BH242" i="5"/>
  <c r="AQ525" i="5"/>
  <c r="AP525" i="5"/>
  <c r="BH525" i="5"/>
  <c r="AQ459" i="5"/>
  <c r="BH459" i="5"/>
  <c r="AP459" i="5"/>
  <c r="BH385" i="5"/>
  <c r="AQ385" i="5"/>
  <c r="AP385" i="5"/>
  <c r="BH427" i="5"/>
  <c r="AQ427" i="5"/>
  <c r="AP427" i="5"/>
  <c r="AP400" i="5"/>
  <c r="BH400" i="5"/>
  <c r="AQ400" i="5"/>
  <c r="AP25" i="5"/>
  <c r="AQ25" i="5"/>
  <c r="BH25" i="5"/>
  <c r="AQ45" i="5"/>
  <c r="AP45" i="5"/>
  <c r="BH45" i="5"/>
  <c r="BH80" i="5"/>
  <c r="AP80" i="5"/>
  <c r="AQ80" i="5"/>
  <c r="BH358" i="5"/>
  <c r="AP358" i="5"/>
  <c r="AQ358" i="5"/>
  <c r="AP292" i="5"/>
  <c r="BH292" i="5"/>
  <c r="AQ292" i="5"/>
  <c r="AP93" i="5"/>
  <c r="AQ93" i="5"/>
  <c r="BH93" i="5"/>
  <c r="BH185" i="5"/>
  <c r="AQ185" i="5"/>
  <c r="AP185" i="5"/>
  <c r="AP417" i="5"/>
  <c r="BH417" i="5"/>
  <c r="AQ417" i="5"/>
  <c r="BH406" i="5"/>
  <c r="AP406" i="5"/>
  <c r="AQ406" i="5"/>
  <c r="BH346" i="5"/>
  <c r="AP346" i="5"/>
  <c r="AQ346" i="5"/>
  <c r="AP66" i="5"/>
  <c r="BH66" i="5"/>
  <c r="AQ66" i="5"/>
  <c r="AP310" i="5"/>
  <c r="AQ310" i="5"/>
  <c r="BH310" i="5"/>
  <c r="AQ44" i="5"/>
  <c r="AP44" i="5"/>
  <c r="BH44" i="5"/>
  <c r="AQ513" i="5"/>
  <c r="BH513" i="5"/>
  <c r="AP513" i="5"/>
  <c r="BH63" i="5"/>
  <c r="AP63" i="5"/>
  <c r="AQ63" i="5"/>
  <c r="BH481" i="5"/>
  <c r="AQ481" i="5"/>
  <c r="AP481" i="5"/>
  <c r="AQ470" i="5"/>
  <c r="AP470" i="5"/>
  <c r="BH470" i="5"/>
  <c r="AQ288" i="5"/>
  <c r="BH288" i="5"/>
  <c r="AP288" i="5"/>
  <c r="AP107" i="5"/>
  <c r="BH107" i="5"/>
  <c r="AQ107" i="5"/>
  <c r="BH150" i="5"/>
  <c r="AQ150" i="5"/>
  <c r="AP150" i="5"/>
  <c r="AP341" i="5"/>
  <c r="BH341" i="5"/>
  <c r="AQ341" i="5"/>
  <c r="AQ75" i="5"/>
  <c r="AP75" i="5"/>
  <c r="BH75" i="5"/>
  <c r="BH544" i="5"/>
  <c r="AP544" i="5"/>
  <c r="AQ544" i="5"/>
  <c r="AQ550" i="5"/>
  <c r="BH550" i="5"/>
  <c r="AP550" i="5"/>
  <c r="AP512" i="5"/>
  <c r="AQ512" i="5"/>
  <c r="BH512" i="5"/>
  <c r="BH501" i="5"/>
  <c r="AP501" i="5"/>
  <c r="AQ501" i="5"/>
  <c r="AP410" i="5"/>
  <c r="AQ410" i="5"/>
  <c r="BH410" i="5"/>
  <c r="AQ130" i="5"/>
  <c r="AP130" i="5"/>
  <c r="BH130" i="5"/>
  <c r="BH181" i="5"/>
  <c r="AQ181" i="5"/>
  <c r="AP181" i="5"/>
  <c r="AQ13" i="5"/>
  <c r="AP13" i="5"/>
  <c r="BH13" i="5"/>
  <c r="BH71" i="5"/>
  <c r="AQ71" i="5"/>
  <c r="AP71" i="5"/>
  <c r="AQ500" i="5"/>
  <c r="BH500" i="5"/>
  <c r="AP500" i="5"/>
  <c r="AP327" i="5"/>
  <c r="AQ327" i="5"/>
  <c r="BH327" i="5"/>
  <c r="BH226" i="5"/>
  <c r="AQ226" i="5"/>
  <c r="AP226" i="5"/>
  <c r="BI499" i="5"/>
  <c r="BJ499" i="5"/>
  <c r="AQ419" i="5"/>
  <c r="AP419" i="5"/>
  <c r="BH419" i="5"/>
  <c r="BH509" i="5"/>
  <c r="AQ509" i="5"/>
  <c r="AP509" i="5"/>
  <c r="AQ368" i="5"/>
  <c r="AP368" i="5"/>
  <c r="BH368" i="5"/>
  <c r="AQ79" i="5"/>
  <c r="AP79" i="5"/>
  <c r="BH79" i="5"/>
  <c r="AP21" i="5"/>
  <c r="AQ21" i="5"/>
  <c r="BH21" i="5"/>
  <c r="BH490" i="5"/>
  <c r="AQ490" i="5"/>
  <c r="AP490" i="5"/>
  <c r="BH348" i="5"/>
  <c r="AP348" i="5"/>
  <c r="AQ348" i="5"/>
  <c r="BH516" i="5"/>
  <c r="AQ516" i="5"/>
  <c r="AP516" i="5"/>
  <c r="AP489" i="5"/>
  <c r="AQ489" i="5"/>
  <c r="BH489" i="5"/>
  <c r="AP540" i="5"/>
  <c r="BH540" i="5"/>
  <c r="AQ540" i="5"/>
  <c r="AQ196" i="5"/>
  <c r="AP196" i="5"/>
  <c r="BH196" i="5"/>
  <c r="AQ426" i="5"/>
  <c r="AP426" i="5"/>
  <c r="BH426" i="5"/>
  <c r="AP160" i="5"/>
  <c r="AQ160" i="5"/>
  <c r="BH160" i="5"/>
  <c r="BH166" i="5"/>
  <c r="AQ166" i="5"/>
  <c r="AP166" i="5"/>
  <c r="AP100" i="5"/>
  <c r="AQ100" i="5"/>
  <c r="BH100" i="5"/>
  <c r="BH70" i="5"/>
  <c r="AQ70" i="5"/>
  <c r="AP70" i="5"/>
  <c r="BH51" i="5"/>
  <c r="AQ51" i="5"/>
  <c r="AP51" i="5"/>
  <c r="BH12" i="5"/>
  <c r="AP12" i="5"/>
  <c r="AQ12" i="5"/>
  <c r="AP95" i="5"/>
  <c r="AQ95" i="5"/>
  <c r="BH95" i="5"/>
  <c r="AP266" i="5"/>
  <c r="AQ266" i="5"/>
  <c r="BH266" i="5"/>
  <c r="BH224" i="5"/>
  <c r="AQ224" i="5"/>
  <c r="AP224" i="5"/>
  <c r="BI197" i="5"/>
  <c r="BJ197" i="5"/>
  <c r="BI395" i="5"/>
  <c r="BJ395" i="5"/>
  <c r="BI322" i="5"/>
  <c r="BJ322" i="5"/>
  <c r="AP260" i="5"/>
  <c r="BH260" i="5"/>
  <c r="AQ260" i="5"/>
  <c r="AP228" i="5"/>
  <c r="AQ228" i="5"/>
  <c r="BH228" i="5"/>
  <c r="AP375" i="5"/>
  <c r="AQ375" i="5"/>
  <c r="BH375" i="5"/>
  <c r="BH132" i="5"/>
  <c r="AQ132" i="5"/>
  <c r="AP132" i="5"/>
  <c r="AQ105" i="5"/>
  <c r="AP105" i="5"/>
  <c r="BH105" i="5"/>
  <c r="AQ94" i="5"/>
  <c r="AP94" i="5"/>
  <c r="BH94" i="5"/>
  <c r="AP293" i="5"/>
  <c r="AQ293" i="5"/>
  <c r="BH293" i="5"/>
  <c r="AQ328" i="5"/>
  <c r="BH328" i="5"/>
  <c r="AP328" i="5"/>
  <c r="AQ543" i="5"/>
  <c r="BH543" i="5"/>
  <c r="AP543" i="5"/>
  <c r="BH221" i="5"/>
  <c r="AP221" i="5"/>
  <c r="AQ221" i="5"/>
  <c r="AQ367" i="5"/>
  <c r="BH367" i="5"/>
  <c r="AP367" i="5"/>
  <c r="AQ497" i="5"/>
  <c r="AP497" i="5"/>
  <c r="BH497" i="5"/>
  <c r="AQ122" i="5"/>
  <c r="AP122" i="5"/>
  <c r="BH122" i="5"/>
  <c r="AP271" i="5"/>
  <c r="AQ271" i="5"/>
  <c r="BH271" i="5"/>
  <c r="AQ123" i="5"/>
  <c r="BH123" i="5"/>
  <c r="AP123" i="5"/>
  <c r="AP314" i="5"/>
  <c r="BH314" i="5"/>
  <c r="AQ314" i="5"/>
  <c r="BH519" i="5"/>
  <c r="AQ519" i="5"/>
  <c r="AP519" i="5"/>
  <c r="AP356" i="5"/>
  <c r="BH356" i="5"/>
  <c r="AQ356" i="5"/>
  <c r="BH62" i="5"/>
  <c r="AQ62" i="5"/>
  <c r="AP62" i="5"/>
  <c r="BH81" i="5"/>
  <c r="AQ81" i="5"/>
  <c r="AP81" i="5"/>
  <c r="AQ186" i="5"/>
  <c r="AP186" i="5"/>
  <c r="BH186" i="5"/>
  <c r="AQ215" i="5"/>
  <c r="BH215" i="5"/>
  <c r="AP215" i="5"/>
  <c r="AP156" i="5"/>
  <c r="AQ156" i="5"/>
  <c r="BH156" i="5"/>
  <c r="BH355" i="5"/>
  <c r="AQ355" i="5"/>
  <c r="AP355" i="5"/>
  <c r="BH398" i="5"/>
  <c r="AP398" i="5"/>
  <c r="AQ398" i="5"/>
  <c r="BH110" i="5"/>
  <c r="AP110" i="5"/>
  <c r="AQ110" i="5"/>
  <c r="AQ387" i="5"/>
  <c r="BH387" i="5"/>
  <c r="AP387" i="5"/>
  <c r="AP114" i="5"/>
  <c r="AQ114" i="5"/>
  <c r="BH114" i="5"/>
  <c r="BH529" i="5"/>
  <c r="AP529" i="5"/>
  <c r="AQ529" i="5"/>
  <c r="AQ217" i="5"/>
  <c r="BH217" i="5"/>
  <c r="AP217" i="5"/>
  <c r="AQ206" i="5"/>
  <c r="BH206" i="5"/>
  <c r="AP206" i="5"/>
  <c r="AP187" i="5"/>
  <c r="AQ187" i="5"/>
  <c r="BH187" i="5"/>
  <c r="BH378" i="5"/>
  <c r="AQ378" i="5"/>
  <c r="AP378" i="5"/>
  <c r="BH429" i="5"/>
  <c r="AQ429" i="5"/>
  <c r="AP429" i="5"/>
  <c r="AQ560" i="5"/>
  <c r="BH560" i="5"/>
  <c r="AP560" i="5"/>
  <c r="BH329" i="5"/>
  <c r="AP329" i="5"/>
  <c r="AQ329" i="5"/>
  <c r="AP359" i="5"/>
  <c r="AQ359" i="5"/>
  <c r="BH359" i="5"/>
  <c r="AP269" i="5"/>
  <c r="BH269" i="5"/>
  <c r="AQ269" i="5"/>
  <c r="AQ103" i="5"/>
  <c r="AP103" i="5"/>
  <c r="BH103" i="5"/>
  <c r="AQ284" i="5"/>
  <c r="AP284" i="5"/>
  <c r="BH284" i="5"/>
  <c r="AQ511" i="5"/>
  <c r="BH511" i="5"/>
  <c r="AP511" i="5"/>
  <c r="AQ393" i="5"/>
  <c r="AP393" i="5"/>
  <c r="BH393" i="5"/>
  <c r="AQ303" i="5"/>
  <c r="AP303" i="5"/>
  <c r="BH303" i="5"/>
  <c r="AP333" i="5"/>
  <c r="AQ333" i="5"/>
  <c r="BH333" i="5"/>
  <c r="AQ267" i="5"/>
  <c r="AP267" i="5"/>
  <c r="BH267" i="5"/>
  <c r="AQ53" i="5"/>
  <c r="AP53" i="5"/>
  <c r="BH53" i="5"/>
  <c r="AP505" i="5"/>
  <c r="AQ505" i="5"/>
  <c r="BH505" i="5"/>
  <c r="BH194" i="5"/>
  <c r="AQ194" i="5"/>
  <c r="AP194" i="5"/>
  <c r="BH245" i="5"/>
  <c r="AP245" i="5"/>
  <c r="AQ245" i="5"/>
  <c r="BH178" i="5"/>
  <c r="AQ178" i="5"/>
  <c r="AP178" i="5"/>
  <c r="AQ508" i="5"/>
  <c r="AP508" i="5"/>
  <c r="BH508" i="5"/>
  <c r="BH380" i="5"/>
  <c r="AP380" i="5"/>
  <c r="AQ380" i="5"/>
  <c r="AP306" i="5"/>
  <c r="AQ306" i="5"/>
  <c r="BH306" i="5"/>
  <c r="AQ515" i="5"/>
  <c r="BH515" i="5"/>
  <c r="AP515" i="5"/>
  <c r="BH299" i="5"/>
  <c r="AQ299" i="5"/>
  <c r="AP299" i="5"/>
  <c r="AQ272" i="5"/>
  <c r="BH272" i="5"/>
  <c r="AP272" i="5"/>
  <c r="AP422" i="5"/>
  <c r="AQ422" i="5"/>
  <c r="BH422" i="5"/>
  <c r="BH514" i="5"/>
  <c r="AQ514" i="5"/>
  <c r="AP514" i="5"/>
  <c r="BF482" i="5"/>
  <c r="BK482" i="5" s="1"/>
  <c r="BN481" i="5" s="1"/>
  <c r="BO481" i="5" s="1"/>
  <c r="BG482" i="5"/>
  <c r="BL482" i="5" s="1"/>
  <c r="BJ541" i="5"/>
  <c r="BI541" i="5"/>
  <c r="BI484" i="5"/>
  <c r="BJ484" i="5"/>
  <c r="BJ537" i="5"/>
  <c r="BI537" i="5"/>
  <c r="AP488" i="5"/>
  <c r="AQ488" i="5"/>
  <c r="BH488" i="5"/>
  <c r="AP121" i="5"/>
  <c r="AQ121" i="5"/>
  <c r="BH121" i="5"/>
  <c r="AQ405" i="5"/>
  <c r="BH405" i="5"/>
  <c r="AP405" i="5"/>
  <c r="BH495" i="5"/>
  <c r="AP495" i="5"/>
  <c r="AQ495" i="5"/>
  <c r="AP496" i="5"/>
  <c r="BH496" i="5"/>
  <c r="AQ496" i="5"/>
  <c r="AQ502" i="5"/>
  <c r="BH502" i="5"/>
  <c r="AP502" i="5"/>
  <c r="AP478" i="5"/>
  <c r="AQ478" i="5"/>
  <c r="BH478" i="5"/>
  <c r="BH204" i="5"/>
  <c r="AQ204" i="5"/>
  <c r="AP204" i="5"/>
  <c r="AQ162" i="5"/>
  <c r="AP162" i="5"/>
  <c r="BH162" i="5"/>
  <c r="AQ96" i="5"/>
  <c r="BH96" i="5"/>
  <c r="AP96" i="5"/>
  <c r="BH102" i="5"/>
  <c r="AQ102" i="5"/>
  <c r="AP102" i="5"/>
  <c r="BH36" i="5"/>
  <c r="AQ36" i="5"/>
  <c r="AP36" i="5"/>
  <c r="AQ301" i="5"/>
  <c r="AP301" i="5"/>
  <c r="BH301" i="5"/>
  <c r="AP274" i="5"/>
  <c r="BH274" i="5"/>
  <c r="AQ274" i="5"/>
  <c r="AQ442" i="5"/>
  <c r="BH442" i="5"/>
  <c r="AP442" i="5"/>
  <c r="BH493" i="5"/>
  <c r="AQ493" i="5"/>
  <c r="AP493" i="5"/>
  <c r="BH273" i="5"/>
  <c r="AP273" i="5"/>
  <c r="AQ273" i="5"/>
  <c r="AP118" i="5"/>
  <c r="AQ118" i="5"/>
  <c r="BH118" i="5"/>
  <c r="AP52" i="5"/>
  <c r="AQ52" i="5"/>
  <c r="BH52" i="5"/>
  <c r="AQ521" i="5"/>
  <c r="AP521" i="5"/>
  <c r="BH521" i="5"/>
  <c r="AP379" i="5"/>
  <c r="AQ379" i="5"/>
  <c r="BH379" i="5"/>
  <c r="AQ547" i="5"/>
  <c r="AP547" i="5"/>
  <c r="BH547" i="5"/>
  <c r="BH520" i="5"/>
  <c r="AP520" i="5"/>
  <c r="AQ520" i="5"/>
  <c r="AP28" i="5"/>
  <c r="AQ28" i="5"/>
  <c r="BH28" i="5"/>
  <c r="AP227" i="5"/>
  <c r="BH227" i="5"/>
  <c r="AQ227" i="5"/>
  <c r="BJ443" i="5"/>
  <c r="BI443" i="5"/>
  <c r="BI369" i="5"/>
  <c r="BJ369" i="5"/>
  <c r="BI35" i="5"/>
  <c r="BJ35" i="5"/>
  <c r="BI307" i="5"/>
  <c r="BJ307" i="5"/>
  <c r="AP252" i="5"/>
  <c r="AQ252" i="5"/>
  <c r="BH252" i="5"/>
  <c r="AP342" i="5"/>
  <c r="BH342" i="5"/>
  <c r="AQ342" i="5"/>
  <c r="AP510" i="5"/>
  <c r="BH510" i="5"/>
  <c r="AQ510" i="5"/>
  <c r="AQ104" i="5"/>
  <c r="AP104" i="5"/>
  <c r="BH104" i="5"/>
  <c r="AQ371" i="5"/>
  <c r="AP371" i="5"/>
  <c r="BH371" i="5"/>
  <c r="BH414" i="5"/>
  <c r="AP414" i="5"/>
  <c r="AQ414" i="5"/>
  <c r="AQ48" i="5"/>
  <c r="BH48" i="5"/>
  <c r="AP48" i="5"/>
  <c r="BH190" i="5"/>
  <c r="AP190" i="5"/>
  <c r="AQ190" i="5"/>
  <c r="AQ311" i="5"/>
  <c r="AP311" i="5"/>
  <c r="BH311" i="5"/>
  <c r="AP287" i="5"/>
  <c r="AQ287" i="5"/>
  <c r="BH287" i="5"/>
  <c r="BH404" i="5"/>
  <c r="AQ404" i="5"/>
  <c r="AP404" i="5"/>
  <c r="AP119" i="5"/>
  <c r="AQ119" i="5"/>
  <c r="BH119" i="5"/>
  <c r="AQ207" i="5"/>
  <c r="AP207" i="5"/>
  <c r="BH207" i="5"/>
  <c r="BH143" i="5"/>
  <c r="AP143" i="5"/>
  <c r="AQ143" i="5"/>
  <c r="BH436" i="5"/>
  <c r="AQ436" i="5"/>
  <c r="AP436" i="5"/>
  <c r="AQ286" i="5"/>
  <c r="AP286" i="5"/>
  <c r="BH286" i="5"/>
  <c r="AP454" i="5"/>
  <c r="AQ454" i="5"/>
  <c r="BH454" i="5"/>
  <c r="AQ435" i="5"/>
  <c r="BH435" i="5"/>
  <c r="AP435" i="5"/>
  <c r="BH134" i="5"/>
  <c r="AQ134" i="5"/>
  <c r="AP134" i="5"/>
  <c r="AQ372" i="5"/>
  <c r="BH372" i="5"/>
  <c r="AP372" i="5"/>
  <c r="AP98" i="5"/>
  <c r="AQ98" i="5"/>
  <c r="BH98" i="5"/>
  <c r="AQ32" i="5"/>
  <c r="AP32" i="5"/>
  <c r="BH32" i="5"/>
  <c r="AQ38" i="5"/>
  <c r="BH38" i="5"/>
  <c r="AP38" i="5"/>
  <c r="AQ255" i="5"/>
  <c r="BH255" i="5"/>
  <c r="AP255" i="5"/>
  <c r="BH532" i="5"/>
  <c r="AP532" i="5"/>
  <c r="AQ532" i="5"/>
  <c r="AQ212" i="5"/>
  <c r="BH212" i="5"/>
  <c r="AP212" i="5"/>
  <c r="BH246" i="5"/>
  <c r="AQ246" i="5"/>
  <c r="AP246" i="5"/>
  <c r="BH180" i="5"/>
  <c r="AP180" i="5"/>
  <c r="AQ180" i="5"/>
  <c r="AP106" i="5"/>
  <c r="AQ106" i="5"/>
  <c r="BH106" i="5"/>
  <c r="AP40" i="5"/>
  <c r="BH40" i="5"/>
  <c r="AQ40" i="5"/>
  <c r="AP433" i="5"/>
  <c r="AQ433" i="5"/>
  <c r="BH433" i="5"/>
  <c r="BH58" i="5"/>
  <c r="AP58" i="5"/>
  <c r="AQ58" i="5"/>
  <c r="AQ263" i="5"/>
  <c r="AP263" i="5"/>
  <c r="BH263" i="5"/>
  <c r="AP82" i="5"/>
  <c r="BH82" i="5"/>
  <c r="AQ82" i="5"/>
  <c r="AP281" i="5"/>
  <c r="BH281" i="5"/>
  <c r="AQ281" i="5"/>
  <c r="AQ479" i="5"/>
  <c r="BH479" i="5"/>
  <c r="AP479" i="5"/>
  <c r="BH556" i="5"/>
  <c r="AQ556" i="5"/>
  <c r="AP556" i="5"/>
  <c r="AQ482" i="5"/>
  <c r="AP482" i="5"/>
  <c r="BH482" i="5"/>
  <c r="AQ416" i="5"/>
  <c r="AP416" i="5"/>
  <c r="BH416" i="5"/>
  <c r="BH450" i="5"/>
  <c r="AP450" i="5"/>
  <c r="AQ450" i="5"/>
  <c r="AQ55" i="5"/>
  <c r="AP55" i="5"/>
  <c r="BH55" i="5"/>
  <c r="AP56" i="5"/>
  <c r="AQ56" i="5"/>
  <c r="BH56" i="5"/>
  <c r="BH76" i="5"/>
  <c r="AQ76" i="5"/>
  <c r="AP76" i="5"/>
  <c r="BH335" i="5"/>
  <c r="AQ335" i="5"/>
  <c r="AP335" i="5"/>
  <c r="AP308" i="5"/>
  <c r="BH308" i="5"/>
  <c r="AQ308" i="5"/>
  <c r="AP234" i="5"/>
  <c r="AQ234" i="5"/>
  <c r="BH234" i="5"/>
  <c r="BH168" i="5"/>
  <c r="AQ168" i="5"/>
  <c r="AP168" i="5"/>
  <c r="AP174" i="5"/>
  <c r="BH174" i="5"/>
  <c r="AQ174" i="5"/>
  <c r="AP447" i="5"/>
  <c r="AQ447" i="5"/>
  <c r="BH447" i="5"/>
  <c r="AQ120" i="5"/>
  <c r="BH120" i="5"/>
  <c r="AP120" i="5"/>
  <c r="BH109" i="5"/>
  <c r="AP109" i="5"/>
  <c r="AQ109" i="5"/>
  <c r="AP144" i="5"/>
  <c r="BH144" i="5"/>
  <c r="AQ144" i="5"/>
  <c r="AQ339" i="5"/>
  <c r="BH339" i="5"/>
  <c r="AP339" i="5"/>
  <c r="AP265" i="5"/>
  <c r="BH265" i="5"/>
  <c r="AQ265" i="5"/>
  <c r="BH415" i="5"/>
  <c r="AQ415" i="5"/>
  <c r="AP415" i="5"/>
  <c r="AP205" i="5"/>
  <c r="BH205" i="5"/>
  <c r="AQ205" i="5"/>
  <c r="BH534" i="5"/>
  <c r="AP534" i="5"/>
  <c r="AQ534" i="5"/>
  <c r="AP257" i="5"/>
  <c r="AQ257" i="5"/>
  <c r="BH257" i="5"/>
  <c r="BH140" i="5"/>
  <c r="AP140" i="5"/>
  <c r="AQ140" i="5"/>
  <c r="AQ279" i="5"/>
  <c r="BH279" i="5"/>
  <c r="AP279" i="5"/>
  <c r="AQ141" i="5"/>
  <c r="AP141" i="5"/>
  <c r="BH141" i="5"/>
  <c r="AP240" i="5"/>
  <c r="BH240" i="5"/>
  <c r="AQ240" i="5"/>
  <c r="AQ27" i="5"/>
  <c r="AP27" i="5"/>
  <c r="BH27" i="5"/>
  <c r="AQ434" i="5"/>
  <c r="BH434" i="5"/>
  <c r="AP434" i="5"/>
  <c r="BH248" i="5"/>
  <c r="AQ248" i="5"/>
  <c r="AP248" i="5"/>
  <c r="AQ237" i="5"/>
  <c r="AP237" i="5"/>
  <c r="BH237" i="5"/>
  <c r="BH452" i="5"/>
  <c r="AQ452" i="5"/>
  <c r="AP452" i="5"/>
  <c r="BI208" i="5"/>
  <c r="BJ208" i="5"/>
  <c r="BJ214" i="5"/>
  <c r="BI214" i="5"/>
  <c r="AP460" i="5"/>
  <c r="BH460" i="5"/>
  <c r="AQ460" i="5"/>
  <c r="BG265" i="5"/>
  <c r="BL265" i="5" s="1"/>
  <c r="BF265" i="5"/>
  <c r="BK265" i="5" s="1"/>
  <c r="AQ319" i="5"/>
  <c r="AP319" i="5"/>
  <c r="BH319" i="5"/>
  <c r="BH539" i="5"/>
  <c r="AQ539" i="5"/>
  <c r="AP539" i="5"/>
  <c r="AP411" i="5"/>
  <c r="BH411" i="5"/>
  <c r="AQ411" i="5"/>
  <c r="AP381" i="5"/>
  <c r="AQ381" i="5"/>
  <c r="BH381" i="5"/>
  <c r="BH549" i="5"/>
  <c r="AP549" i="5"/>
  <c r="AQ549" i="5"/>
  <c r="AQ522" i="5"/>
  <c r="BH522" i="5"/>
  <c r="AP522" i="5"/>
  <c r="AP542" i="5"/>
  <c r="AQ542" i="5"/>
  <c r="BH542" i="5"/>
  <c r="AQ198" i="5"/>
  <c r="AP198" i="5"/>
  <c r="BH198" i="5"/>
  <c r="AQ424" i="5"/>
  <c r="AP424" i="5"/>
  <c r="BH424" i="5"/>
  <c r="AQ430" i="5"/>
  <c r="BH430" i="5"/>
  <c r="AP430" i="5"/>
  <c r="BH364" i="5"/>
  <c r="AQ364" i="5"/>
  <c r="AP364" i="5"/>
  <c r="AQ290" i="5"/>
  <c r="AP290" i="5"/>
  <c r="BH290" i="5"/>
  <c r="AP84" i="5"/>
  <c r="AQ84" i="5"/>
  <c r="BH84" i="5"/>
  <c r="BH536" i="5"/>
  <c r="AQ536" i="5"/>
  <c r="AP536" i="5"/>
  <c r="AQ225" i="5"/>
  <c r="AP225" i="5"/>
  <c r="BH225" i="5"/>
  <c r="AP276" i="5"/>
  <c r="AQ276" i="5"/>
  <c r="BH276" i="5"/>
  <c r="AP461" i="5"/>
  <c r="AQ461" i="5"/>
  <c r="BH461" i="5"/>
  <c r="AQ316" i="5"/>
  <c r="BH316" i="5"/>
  <c r="AP316" i="5"/>
  <c r="AP552" i="5"/>
  <c r="AQ552" i="5"/>
  <c r="BH552" i="5"/>
  <c r="BJ391" i="5"/>
  <c r="BI391" i="5"/>
  <c r="AB7" i="5"/>
  <c r="BE7" i="5" s="1"/>
  <c r="BN467" i="5" l="1"/>
  <c r="BO467" i="5" s="1"/>
  <c r="BN516" i="5"/>
  <c r="BO516" i="5" s="1"/>
  <c r="BO274" i="5"/>
  <c r="BO270" i="5"/>
  <c r="BN357" i="5"/>
  <c r="BO357" i="5" s="1"/>
  <c r="BN440" i="5"/>
  <c r="BO440" i="5" s="1"/>
  <c r="BO337" i="5"/>
  <c r="BN515" i="5"/>
  <c r="BO515" i="5" s="1"/>
  <c r="BN296" i="5"/>
  <c r="BO296" i="5" s="1"/>
  <c r="BN438" i="5"/>
  <c r="BO438" i="5" s="1"/>
  <c r="BN315" i="5"/>
  <c r="BO315" i="5" s="1"/>
  <c r="BO112" i="5"/>
  <c r="BN198" i="5"/>
  <c r="BO198" i="5" s="1"/>
  <c r="BN19" i="5"/>
  <c r="BO19" i="5" s="1"/>
  <c r="BN194" i="5"/>
  <c r="BO194" i="5" s="1"/>
  <c r="BN132" i="5"/>
  <c r="BO132" i="5" s="1"/>
  <c r="BN226" i="5"/>
  <c r="BO226" i="5" s="1"/>
  <c r="BN514" i="5"/>
  <c r="BO514" i="5" s="1"/>
  <c r="BN113" i="5"/>
  <c r="BO113" i="5" s="1"/>
  <c r="BN114" i="5"/>
  <c r="BO114" i="5" s="1"/>
  <c r="BN23" i="5"/>
  <c r="BO23" i="5" s="1"/>
  <c r="BN135" i="5"/>
  <c r="BO135" i="5" s="1"/>
  <c r="BN437" i="5"/>
  <c r="BO437" i="5" s="1"/>
  <c r="BN122" i="5"/>
  <c r="BO122" i="5" s="1"/>
  <c r="BN317" i="5"/>
  <c r="BO317" i="5" s="1"/>
  <c r="BO271" i="5"/>
  <c r="BN380" i="5"/>
  <c r="BO380" i="5" s="1"/>
  <c r="BN436" i="5"/>
  <c r="BO436" i="5" s="1"/>
  <c r="BO259" i="5"/>
  <c r="BN381" i="5"/>
  <c r="BO381" i="5" s="1"/>
  <c r="BN301" i="5"/>
  <c r="BO301" i="5" s="1"/>
  <c r="BN489" i="5"/>
  <c r="BO489" i="5" s="1"/>
  <c r="BN279" i="5"/>
  <c r="BO279" i="5" s="1"/>
  <c r="BN504" i="5"/>
  <c r="BO504" i="5" s="1"/>
  <c r="BJ280" i="5"/>
  <c r="BN335" i="5"/>
  <c r="BO335" i="5" s="1"/>
  <c r="BN466" i="5"/>
  <c r="BO466" i="5" s="1"/>
  <c r="BN241" i="5"/>
  <c r="BO241" i="5" s="1"/>
  <c r="BN102" i="5"/>
  <c r="BO102" i="5" s="1"/>
  <c r="BN356" i="5"/>
  <c r="BO356" i="5" s="1"/>
  <c r="BN79" i="5"/>
  <c r="BO79" i="5" s="1"/>
  <c r="BN140" i="5"/>
  <c r="BO140" i="5" s="1"/>
  <c r="BN458" i="5"/>
  <c r="BO458" i="5" s="1"/>
  <c r="BN85" i="5"/>
  <c r="BO85" i="5" s="1"/>
  <c r="BN139" i="5"/>
  <c r="BO139" i="5" s="1"/>
  <c r="BN517" i="5"/>
  <c r="BO517" i="5" s="1"/>
  <c r="BN498" i="5"/>
  <c r="BO498" i="5" s="1"/>
  <c r="BN95" i="5"/>
  <c r="BO95" i="5" s="1"/>
  <c r="BN495" i="5"/>
  <c r="BO495" i="5" s="1"/>
  <c r="BN223" i="5"/>
  <c r="BO223" i="5" s="1"/>
  <c r="BN525" i="5"/>
  <c r="BO525" i="5" s="1"/>
  <c r="BN173" i="5"/>
  <c r="BO173" i="5" s="1"/>
  <c r="BN186" i="5"/>
  <c r="BO186" i="5" s="1"/>
  <c r="BN66" i="5"/>
  <c r="BO66" i="5" s="1"/>
  <c r="BN439" i="5"/>
  <c r="BO439" i="5" s="1"/>
  <c r="BN127" i="5"/>
  <c r="BO127" i="5" s="1"/>
  <c r="BN82" i="5"/>
  <c r="BO82" i="5" s="1"/>
  <c r="BN402" i="5"/>
  <c r="BO402" i="5" s="1"/>
  <c r="BN543" i="5"/>
  <c r="BO543" i="5" s="1"/>
  <c r="BN178" i="5"/>
  <c r="BO178" i="5" s="1"/>
  <c r="BN87" i="5"/>
  <c r="BO87" i="5" s="1"/>
  <c r="BN48" i="5"/>
  <c r="BO48" i="5" s="1"/>
  <c r="BN529" i="5"/>
  <c r="BO529" i="5" s="1"/>
  <c r="BN535" i="5"/>
  <c r="BO535" i="5" s="1"/>
  <c r="BN228" i="5"/>
  <c r="BO228" i="5" s="1"/>
  <c r="BN549" i="5"/>
  <c r="BO549" i="5" s="1"/>
  <c r="BN387" i="5"/>
  <c r="BO387" i="5" s="1"/>
  <c r="BN340" i="5"/>
  <c r="BO340" i="5" s="1"/>
  <c r="BN367" i="5"/>
  <c r="BO367" i="5" s="1"/>
  <c r="BN428" i="5"/>
  <c r="BO428" i="5" s="1"/>
  <c r="BN168" i="5"/>
  <c r="BO168" i="5" s="1"/>
  <c r="BN294" i="5"/>
  <c r="BO294" i="5" s="1"/>
  <c r="BN371" i="5"/>
  <c r="BO371" i="5" s="1"/>
  <c r="BN429" i="5"/>
  <c r="BO429" i="5" s="1"/>
  <c r="BN42" i="5"/>
  <c r="BO42" i="5" s="1"/>
  <c r="BN195" i="5"/>
  <c r="BO195" i="5" s="1"/>
  <c r="BN275" i="5"/>
  <c r="BO275" i="5" s="1"/>
  <c r="BN423" i="5"/>
  <c r="BO423" i="5" s="1"/>
  <c r="BN92" i="5"/>
  <c r="BO92" i="5" s="1"/>
  <c r="BN461" i="5"/>
  <c r="BO461" i="5" s="1"/>
  <c r="BN253" i="5"/>
  <c r="BO253" i="5" s="1"/>
  <c r="BN232" i="5"/>
  <c r="BO232" i="5" s="1"/>
  <c r="BN411" i="5"/>
  <c r="BO411" i="5" s="1"/>
  <c r="BN299" i="5"/>
  <c r="BO299" i="5" s="1"/>
  <c r="BN483" i="5"/>
  <c r="BO483" i="5" s="1"/>
  <c r="BN415" i="5"/>
  <c r="BO415" i="5" s="1"/>
  <c r="BN104" i="5"/>
  <c r="BO104" i="5" s="1"/>
  <c r="BI41" i="5"/>
  <c r="BN158" i="5"/>
  <c r="BO158" i="5" s="1"/>
  <c r="BN323" i="5"/>
  <c r="BO323" i="5" s="1"/>
  <c r="BN314" i="5"/>
  <c r="BO314" i="5" s="1"/>
  <c r="BN151" i="5"/>
  <c r="BO151" i="5" s="1"/>
  <c r="BN290" i="5"/>
  <c r="BO290" i="5" s="1"/>
  <c r="BN64" i="5"/>
  <c r="BO64" i="5" s="1"/>
  <c r="BN68" i="5"/>
  <c r="BO68" i="5" s="1"/>
  <c r="BN100" i="5"/>
  <c r="BO100" i="5" s="1"/>
  <c r="BN409" i="5"/>
  <c r="BO409" i="5" s="1"/>
  <c r="BN115" i="5"/>
  <c r="BO115" i="5" s="1"/>
  <c r="BN349" i="5"/>
  <c r="BO349" i="5" s="1"/>
  <c r="BN47" i="5"/>
  <c r="BO47" i="5" s="1"/>
  <c r="BN451" i="5"/>
  <c r="BO451" i="5" s="1"/>
  <c r="BN388" i="5"/>
  <c r="BO388" i="5" s="1"/>
  <c r="BN56" i="5"/>
  <c r="BO56" i="5" s="1"/>
  <c r="BN125" i="5"/>
  <c r="BO125" i="5" s="1"/>
  <c r="BN152" i="5"/>
  <c r="BO152" i="5" s="1"/>
  <c r="BN433" i="5"/>
  <c r="BO433" i="5" s="1"/>
  <c r="BN331" i="5"/>
  <c r="BO331" i="5" s="1"/>
  <c r="BN121" i="5"/>
  <c r="BO121" i="5" s="1"/>
  <c r="BN108" i="5"/>
  <c r="BO108" i="5" s="1"/>
  <c r="BN211" i="5"/>
  <c r="BO211" i="5" s="1"/>
  <c r="BN260" i="5"/>
  <c r="BO260" i="5" s="1"/>
  <c r="BN46" i="5"/>
  <c r="BO46" i="5" s="1"/>
  <c r="BN397" i="5"/>
  <c r="BO397" i="5" s="1"/>
  <c r="BN264" i="5"/>
  <c r="BO264" i="5" s="1"/>
  <c r="BN459" i="5"/>
  <c r="BO459" i="5" s="1"/>
  <c r="BN71" i="5"/>
  <c r="BO71" i="5" s="1"/>
  <c r="BN557" i="5"/>
  <c r="BO557" i="5" s="1"/>
  <c r="BN453" i="5"/>
  <c r="BO453" i="5" s="1"/>
  <c r="BJ354" i="5"/>
  <c r="BN506" i="5"/>
  <c r="BO506" i="5" s="1"/>
  <c r="BJ545" i="5"/>
  <c r="BN24" i="5"/>
  <c r="BO24" i="5" s="1"/>
  <c r="BN39" i="5"/>
  <c r="BO39" i="5" s="1"/>
  <c r="BN282" i="5"/>
  <c r="BO282" i="5" s="1"/>
  <c r="BN99" i="5"/>
  <c r="BO99" i="5" s="1"/>
  <c r="BJ383" i="5"/>
  <c r="BN509" i="5"/>
  <c r="BO509" i="5" s="1"/>
  <c r="BN391" i="5"/>
  <c r="BO391" i="5" s="1"/>
  <c r="BI504" i="5"/>
  <c r="BN240" i="5"/>
  <c r="BO240" i="5" s="1"/>
  <c r="BN554" i="5"/>
  <c r="BO554" i="5" s="1"/>
  <c r="BN144" i="5"/>
  <c r="BO144" i="5" s="1"/>
  <c r="BI256" i="5"/>
  <c r="BN382" i="5"/>
  <c r="BO382" i="5" s="1"/>
  <c r="BN52" i="5"/>
  <c r="BO52" i="5" s="1"/>
  <c r="BI230" i="5"/>
  <c r="BN35" i="5"/>
  <c r="BO35" i="5" s="1"/>
  <c r="BJ61" i="5"/>
  <c r="BN510" i="5"/>
  <c r="BO510" i="5" s="1"/>
  <c r="BN344" i="5"/>
  <c r="BO344" i="5" s="1"/>
  <c r="BN181" i="5"/>
  <c r="BO181" i="5" s="1"/>
  <c r="BN27" i="5"/>
  <c r="BO27" i="5" s="1"/>
  <c r="BN321" i="5"/>
  <c r="BO321" i="5" s="1"/>
  <c r="BN212" i="5"/>
  <c r="BO212" i="5" s="1"/>
  <c r="BN376" i="5"/>
  <c r="BO376" i="5" s="1"/>
  <c r="BN201" i="5"/>
  <c r="BO201" i="5" s="1"/>
  <c r="BJ42" i="5"/>
  <c r="BJ182" i="5"/>
  <c r="BI164" i="5"/>
  <c r="BI402" i="5"/>
  <c r="BN309" i="5"/>
  <c r="BO309" i="5" s="1"/>
  <c r="BN474" i="5"/>
  <c r="BO474" i="5" s="1"/>
  <c r="BN263" i="5"/>
  <c r="BO263" i="5" s="1"/>
  <c r="BN497" i="5"/>
  <c r="BO497" i="5" s="1"/>
  <c r="BN76" i="5"/>
  <c r="BO76" i="5" s="1"/>
  <c r="BJ74" i="5"/>
  <c r="BN352" i="5"/>
  <c r="BO352" i="5" s="1"/>
  <c r="BN20" i="5"/>
  <c r="BO20" i="5" s="1"/>
  <c r="BN126" i="5"/>
  <c r="BO126" i="5" s="1"/>
  <c r="BN136" i="5"/>
  <c r="BO136" i="5" s="1"/>
  <c r="BI336" i="5"/>
  <c r="BJ337" i="5"/>
  <c r="BN545" i="5"/>
  <c r="BO545" i="5" s="1"/>
  <c r="BJ127" i="5"/>
  <c r="BI115" i="5"/>
  <c r="BI289" i="5"/>
  <c r="BJ149" i="5"/>
  <c r="BI297" i="5"/>
  <c r="BJ131" i="5"/>
  <c r="BN25" i="5"/>
  <c r="BO25" i="5" s="1"/>
  <c r="BJ68" i="5"/>
  <c r="BJ351" i="5"/>
  <c r="BJ167" i="5"/>
  <c r="BJ124" i="5"/>
  <c r="BJ282" i="5"/>
  <c r="BJ428" i="5"/>
  <c r="BJ219" i="5"/>
  <c r="BI535" i="5"/>
  <c r="BI557" i="5"/>
  <c r="BJ59" i="5"/>
  <c r="BI494" i="5"/>
  <c r="BJ57" i="5"/>
  <c r="BI321" i="5"/>
  <c r="BF9" i="5"/>
  <c r="BK9" i="5" s="1"/>
  <c r="BI396" i="5"/>
  <c r="BJ477" i="5"/>
  <c r="BI507" i="5"/>
  <c r="BI24" i="5"/>
  <c r="BI555" i="5"/>
  <c r="BJ90" i="5"/>
  <c r="BI262" i="5"/>
  <c r="BN482" i="5"/>
  <c r="BO482" i="5" s="1"/>
  <c r="BN265" i="5"/>
  <c r="BO265" i="5" s="1"/>
  <c r="BJ424" i="5"/>
  <c r="BI424" i="5"/>
  <c r="BI522" i="5"/>
  <c r="BJ522" i="5"/>
  <c r="BJ144" i="5"/>
  <c r="BI144" i="5"/>
  <c r="BJ168" i="5"/>
  <c r="BI168" i="5"/>
  <c r="BI263" i="5"/>
  <c r="BJ263" i="5"/>
  <c r="BI454" i="5"/>
  <c r="BJ454" i="5"/>
  <c r="BJ276" i="5"/>
  <c r="BI276" i="5"/>
  <c r="BJ536" i="5"/>
  <c r="BI536" i="5"/>
  <c r="BJ198" i="5"/>
  <c r="BI198" i="5"/>
  <c r="BJ411" i="5"/>
  <c r="BI411" i="5"/>
  <c r="BI234" i="5"/>
  <c r="BJ234" i="5"/>
  <c r="BI335" i="5"/>
  <c r="BJ335" i="5"/>
  <c r="BJ482" i="5"/>
  <c r="BI482" i="5"/>
  <c r="BJ180" i="5"/>
  <c r="BI180" i="5"/>
  <c r="BJ32" i="5"/>
  <c r="BI32" i="5"/>
  <c r="BI52" i="5"/>
  <c r="BJ52" i="5"/>
  <c r="BI273" i="5"/>
  <c r="BJ273" i="5"/>
  <c r="BI274" i="5"/>
  <c r="BJ274" i="5"/>
  <c r="BI502" i="5"/>
  <c r="BJ502" i="5"/>
  <c r="BJ505" i="5"/>
  <c r="BI505" i="5"/>
  <c r="BJ103" i="5"/>
  <c r="BI103" i="5"/>
  <c r="BJ529" i="5"/>
  <c r="BI529" i="5"/>
  <c r="BJ156" i="5"/>
  <c r="BI156" i="5"/>
  <c r="BJ356" i="5"/>
  <c r="BI356" i="5"/>
  <c r="BJ293" i="5"/>
  <c r="BI293" i="5"/>
  <c r="BJ509" i="5"/>
  <c r="BI509" i="5"/>
  <c r="BJ226" i="5"/>
  <c r="BI226" i="5"/>
  <c r="BJ130" i="5"/>
  <c r="BI130" i="5"/>
  <c r="BI501" i="5"/>
  <c r="BJ501" i="5"/>
  <c r="BI310" i="5"/>
  <c r="BJ310" i="5"/>
  <c r="BI346" i="5"/>
  <c r="BJ346" i="5"/>
  <c r="BJ525" i="5"/>
  <c r="BI525" i="5"/>
  <c r="BJ338" i="5"/>
  <c r="BI338" i="5"/>
  <c r="BI171" i="5"/>
  <c r="BJ171" i="5"/>
  <c r="BI476" i="5"/>
  <c r="BJ476" i="5"/>
  <c r="BI112" i="5"/>
  <c r="BJ112" i="5"/>
  <c r="BJ394" i="5"/>
  <c r="BI394" i="5"/>
  <c r="BJ209" i="5"/>
  <c r="BI209" i="5"/>
  <c r="BJ278" i="5"/>
  <c r="BI278" i="5"/>
  <c r="BJ243" i="5"/>
  <c r="BI243" i="5"/>
  <c r="BJ113" i="5"/>
  <c r="BI113" i="5"/>
  <c r="BJ49" i="5"/>
  <c r="BI49" i="5"/>
  <c r="BI318" i="5"/>
  <c r="BJ318" i="5"/>
  <c r="BJ30" i="5"/>
  <c r="BI30" i="5"/>
  <c r="BI412" i="5"/>
  <c r="BJ412" i="5"/>
  <c r="BI334" i="5"/>
  <c r="BJ334" i="5"/>
  <c r="BJ360" i="5"/>
  <c r="BI360" i="5"/>
  <c r="BI474" i="5"/>
  <c r="BJ474" i="5"/>
  <c r="BI50" i="5"/>
  <c r="BJ50" i="5"/>
  <c r="BI389" i="5"/>
  <c r="BJ389" i="5"/>
  <c r="BJ154" i="5"/>
  <c r="BI154" i="5"/>
  <c r="BI261" i="5"/>
  <c r="BJ261" i="5"/>
  <c r="BJ392" i="5"/>
  <c r="BI392" i="5"/>
  <c r="BI84" i="5"/>
  <c r="BJ84" i="5"/>
  <c r="BI265" i="5"/>
  <c r="BJ265" i="5"/>
  <c r="BJ40" i="5"/>
  <c r="BI40" i="5"/>
  <c r="BJ532" i="5"/>
  <c r="BI532" i="5"/>
  <c r="BI28" i="5"/>
  <c r="BJ28" i="5"/>
  <c r="BI405" i="5"/>
  <c r="BJ405" i="5"/>
  <c r="BJ514" i="5"/>
  <c r="BI514" i="5"/>
  <c r="BI178" i="5"/>
  <c r="BJ178" i="5"/>
  <c r="BI333" i="5"/>
  <c r="BJ333" i="5"/>
  <c r="BI429" i="5"/>
  <c r="BJ429" i="5"/>
  <c r="BJ206" i="5"/>
  <c r="BI206" i="5"/>
  <c r="BI114" i="5"/>
  <c r="BJ114" i="5"/>
  <c r="BJ110" i="5"/>
  <c r="BI110" i="5"/>
  <c r="BI123" i="5"/>
  <c r="BJ123" i="5"/>
  <c r="BJ497" i="5"/>
  <c r="BI497" i="5"/>
  <c r="BI221" i="5"/>
  <c r="BJ221" i="5"/>
  <c r="BJ95" i="5"/>
  <c r="BI95" i="5"/>
  <c r="BJ51" i="5"/>
  <c r="BI51" i="5"/>
  <c r="BI196" i="5"/>
  <c r="BJ196" i="5"/>
  <c r="BJ368" i="5"/>
  <c r="BI368" i="5"/>
  <c r="BJ419" i="5"/>
  <c r="BI419" i="5"/>
  <c r="BI327" i="5"/>
  <c r="BJ327" i="5"/>
  <c r="BJ71" i="5"/>
  <c r="BI71" i="5"/>
  <c r="BI512" i="5"/>
  <c r="BJ512" i="5"/>
  <c r="BJ544" i="5"/>
  <c r="BI544" i="5"/>
  <c r="BJ470" i="5"/>
  <c r="BI470" i="5"/>
  <c r="BJ63" i="5"/>
  <c r="BI63" i="5"/>
  <c r="BJ185" i="5"/>
  <c r="BI185" i="5"/>
  <c r="BJ25" i="5"/>
  <c r="BI25" i="5"/>
  <c r="BJ427" i="5"/>
  <c r="BI427" i="5"/>
  <c r="BJ9" i="5"/>
  <c r="BI9" i="5"/>
  <c r="BI108" i="5"/>
  <c r="BJ108" i="5"/>
  <c r="BI397" i="5"/>
  <c r="BJ397" i="5"/>
  <c r="BI491" i="5"/>
  <c r="BJ491" i="5"/>
  <c r="BI370" i="5"/>
  <c r="BJ370" i="5"/>
  <c r="BJ518" i="5"/>
  <c r="BI518" i="5"/>
  <c r="BI498" i="5"/>
  <c r="BJ498" i="5"/>
  <c r="BJ390" i="5"/>
  <c r="BI390" i="5"/>
  <c r="BI326" i="5"/>
  <c r="BJ326" i="5"/>
  <c r="BJ523" i="5"/>
  <c r="BI523" i="5"/>
  <c r="BI473" i="5"/>
  <c r="BJ473" i="5"/>
  <c r="BJ235" i="5"/>
  <c r="BI235" i="5"/>
  <c r="BI159" i="5"/>
  <c r="BJ159" i="5"/>
  <c r="BI486" i="5"/>
  <c r="BJ486" i="5"/>
  <c r="BJ202" i="5"/>
  <c r="BI202" i="5"/>
  <c r="BI117" i="5"/>
  <c r="BJ117" i="5"/>
  <c r="BJ23" i="5"/>
  <c r="BI23" i="5"/>
  <c r="BI192" i="5"/>
  <c r="BJ192" i="5"/>
  <c r="BJ20" i="5"/>
  <c r="BI20" i="5"/>
  <c r="BI463" i="5"/>
  <c r="BJ463" i="5"/>
  <c r="BJ453" i="5"/>
  <c r="BI453" i="5"/>
  <c r="BI548" i="5"/>
  <c r="BJ548" i="5"/>
  <c r="BI8" i="5"/>
  <c r="BJ8" i="5"/>
  <c r="BJ146" i="5"/>
  <c r="BI146" i="5"/>
  <c r="BJ528" i="5"/>
  <c r="BI528" i="5"/>
  <c r="BJ31" i="5"/>
  <c r="BI31" i="5"/>
  <c r="BJ99" i="5"/>
  <c r="BI99" i="5"/>
  <c r="BI332" i="5"/>
  <c r="BJ332" i="5"/>
  <c r="BJ538" i="5"/>
  <c r="BI538" i="5"/>
  <c r="BI467" i="5"/>
  <c r="BJ467" i="5"/>
  <c r="BJ330" i="5"/>
  <c r="BI330" i="5"/>
  <c r="BJ309" i="5"/>
  <c r="BI309" i="5"/>
  <c r="BJ483" i="5"/>
  <c r="BI483" i="5"/>
  <c r="BJ128" i="5"/>
  <c r="BI128" i="5"/>
  <c r="BI437" i="5"/>
  <c r="BJ437" i="5"/>
  <c r="BJ373" i="5"/>
  <c r="BI373" i="5"/>
  <c r="BJ374" i="5"/>
  <c r="BI374" i="5"/>
  <c r="BI239" i="5"/>
  <c r="BJ239" i="5"/>
  <c r="BJ524" i="5"/>
  <c r="BI524" i="5"/>
  <c r="BJ7" i="5"/>
  <c r="BI7" i="5"/>
  <c r="BJ343" i="5"/>
  <c r="BI343" i="5"/>
  <c r="BI364" i="5"/>
  <c r="BJ364" i="5"/>
  <c r="BJ534" i="5"/>
  <c r="BI534" i="5"/>
  <c r="BI281" i="5"/>
  <c r="BJ281" i="5"/>
  <c r="BJ286" i="5"/>
  <c r="BI286" i="5"/>
  <c r="BJ143" i="5"/>
  <c r="BI143" i="5"/>
  <c r="BJ414" i="5"/>
  <c r="BI414" i="5"/>
  <c r="BJ510" i="5"/>
  <c r="BI510" i="5"/>
  <c r="BJ379" i="5"/>
  <c r="BI379" i="5"/>
  <c r="BI301" i="5"/>
  <c r="BJ301" i="5"/>
  <c r="BI102" i="5"/>
  <c r="BJ102" i="5"/>
  <c r="BI422" i="5"/>
  <c r="BJ422" i="5"/>
  <c r="BJ299" i="5"/>
  <c r="BI299" i="5"/>
  <c r="BJ166" i="5"/>
  <c r="BI166" i="5"/>
  <c r="BI490" i="5"/>
  <c r="BJ490" i="5"/>
  <c r="BJ13" i="5"/>
  <c r="BI13" i="5"/>
  <c r="BJ75" i="5"/>
  <c r="BI75" i="5"/>
  <c r="BJ150" i="5"/>
  <c r="BI150" i="5"/>
  <c r="BI93" i="5"/>
  <c r="BJ93" i="5"/>
  <c r="BI358" i="5"/>
  <c r="BJ358" i="5"/>
  <c r="BI136" i="5"/>
  <c r="BJ136" i="5"/>
  <c r="BJ558" i="5"/>
  <c r="BI558" i="5"/>
  <c r="BI294" i="5"/>
  <c r="BJ294" i="5"/>
  <c r="BJ526" i="5"/>
  <c r="BI526" i="5"/>
  <c r="BI365" i="5"/>
  <c r="BJ365" i="5"/>
  <c r="BJ268" i="5"/>
  <c r="BI268" i="5"/>
  <c r="BJ475" i="5"/>
  <c r="BI475" i="5"/>
  <c r="BI172" i="5"/>
  <c r="BJ172" i="5"/>
  <c r="BI253" i="5"/>
  <c r="BJ253" i="5"/>
  <c r="BJ232" i="5"/>
  <c r="BI232" i="5"/>
  <c r="BJ471" i="5"/>
  <c r="BI471" i="5"/>
  <c r="BI275" i="5"/>
  <c r="BJ275" i="5"/>
  <c r="BI183" i="5"/>
  <c r="BJ183" i="5"/>
  <c r="BI340" i="5"/>
  <c r="BJ340" i="5"/>
  <c r="BI147" i="5"/>
  <c r="BJ147" i="5"/>
  <c r="BI67" i="5"/>
  <c r="BJ67" i="5"/>
  <c r="BJ258" i="5"/>
  <c r="BI258" i="5"/>
  <c r="BJ199" i="5"/>
  <c r="BI199" i="5"/>
  <c r="BI173" i="5"/>
  <c r="BJ173" i="5"/>
  <c r="BJ78" i="5"/>
  <c r="BI78" i="5"/>
  <c r="BJ464" i="5"/>
  <c r="BI464" i="5"/>
  <c r="BI92" i="5"/>
  <c r="BJ92" i="5"/>
  <c r="BJ407" i="5"/>
  <c r="BI407" i="5"/>
  <c r="BJ125" i="5"/>
  <c r="BI125" i="5"/>
  <c r="BJ553" i="5"/>
  <c r="BI553" i="5"/>
  <c r="BJ347" i="5"/>
  <c r="BI347" i="5"/>
  <c r="BI29" i="5"/>
  <c r="BJ29" i="5"/>
  <c r="BI302" i="5"/>
  <c r="BJ302" i="5"/>
  <c r="BI145" i="5"/>
  <c r="BJ145" i="5"/>
  <c r="BJ64" i="5"/>
  <c r="BI64" i="5"/>
  <c r="BI388" i="5"/>
  <c r="BJ388" i="5"/>
  <c r="BJ546" i="5"/>
  <c r="BI546" i="5"/>
  <c r="BJ240" i="5"/>
  <c r="BI240" i="5"/>
  <c r="BI461" i="5"/>
  <c r="BJ461" i="5"/>
  <c r="BJ225" i="5"/>
  <c r="BI225" i="5"/>
  <c r="BI430" i="5"/>
  <c r="BJ430" i="5"/>
  <c r="BI542" i="5"/>
  <c r="BJ542" i="5"/>
  <c r="BJ549" i="5"/>
  <c r="BI549" i="5"/>
  <c r="BI460" i="5"/>
  <c r="BJ460" i="5"/>
  <c r="BJ452" i="5"/>
  <c r="BI452" i="5"/>
  <c r="BI434" i="5"/>
  <c r="BJ434" i="5"/>
  <c r="BJ141" i="5"/>
  <c r="BI141" i="5"/>
  <c r="BI140" i="5"/>
  <c r="BJ140" i="5"/>
  <c r="BI205" i="5"/>
  <c r="BJ205" i="5"/>
  <c r="BI109" i="5"/>
  <c r="BJ109" i="5"/>
  <c r="BI174" i="5"/>
  <c r="BJ174" i="5"/>
  <c r="BJ76" i="5"/>
  <c r="BI76" i="5"/>
  <c r="BI106" i="5"/>
  <c r="BJ106" i="5"/>
  <c r="BJ246" i="5"/>
  <c r="BI246" i="5"/>
  <c r="BJ255" i="5"/>
  <c r="BI255" i="5"/>
  <c r="BI98" i="5"/>
  <c r="BJ98" i="5"/>
  <c r="BJ134" i="5"/>
  <c r="BI134" i="5"/>
  <c r="BI207" i="5"/>
  <c r="BJ207" i="5"/>
  <c r="BI404" i="5"/>
  <c r="BJ404" i="5"/>
  <c r="BI371" i="5"/>
  <c r="BJ371" i="5"/>
  <c r="BJ118" i="5"/>
  <c r="BI118" i="5"/>
  <c r="BI493" i="5"/>
  <c r="BJ493" i="5"/>
  <c r="BJ204" i="5"/>
  <c r="BI204" i="5"/>
  <c r="BJ496" i="5"/>
  <c r="BI496" i="5"/>
  <c r="BJ121" i="5"/>
  <c r="BI121" i="5"/>
  <c r="BJ380" i="5"/>
  <c r="BI380" i="5"/>
  <c r="BJ53" i="5"/>
  <c r="BI53" i="5"/>
  <c r="BI511" i="5"/>
  <c r="BJ511" i="5"/>
  <c r="BJ329" i="5"/>
  <c r="BI329" i="5"/>
  <c r="BI81" i="5"/>
  <c r="BJ81" i="5"/>
  <c r="BI271" i="5"/>
  <c r="BJ271" i="5"/>
  <c r="BI543" i="5"/>
  <c r="BJ543" i="5"/>
  <c r="BJ94" i="5"/>
  <c r="BI94" i="5"/>
  <c r="BJ132" i="5"/>
  <c r="BI132" i="5"/>
  <c r="BJ160" i="5"/>
  <c r="BI160" i="5"/>
  <c r="BI21" i="5"/>
  <c r="BJ21" i="5"/>
  <c r="BJ410" i="5"/>
  <c r="BI410" i="5"/>
  <c r="BI513" i="5"/>
  <c r="BJ513" i="5"/>
  <c r="BJ406" i="5"/>
  <c r="BI406" i="5"/>
  <c r="BI242" i="5"/>
  <c r="BJ242" i="5"/>
  <c r="BJ506" i="5"/>
  <c r="BI506" i="5"/>
  <c r="BJ440" i="5"/>
  <c r="BI440" i="5"/>
  <c r="BI425" i="5"/>
  <c r="BJ425" i="5"/>
  <c r="BI46" i="5"/>
  <c r="BJ46" i="5"/>
  <c r="BI39" i="5"/>
  <c r="BJ39" i="5"/>
  <c r="BI33" i="5"/>
  <c r="BJ33" i="5"/>
  <c r="BI249" i="5"/>
  <c r="BJ249" i="5"/>
  <c r="BI129" i="5"/>
  <c r="BJ129" i="5"/>
  <c r="BJ251" i="5"/>
  <c r="BI251" i="5"/>
  <c r="BJ139" i="5"/>
  <c r="BI139" i="5"/>
  <c r="BJ87" i="5"/>
  <c r="BI87" i="5"/>
  <c r="BJ142" i="5"/>
  <c r="BI142" i="5"/>
  <c r="BI438" i="5"/>
  <c r="BJ438" i="5"/>
  <c r="BJ211" i="5"/>
  <c r="BI211" i="5"/>
  <c r="BJ285" i="5"/>
  <c r="BI285" i="5"/>
  <c r="BI54" i="5"/>
  <c r="BJ54" i="5"/>
  <c r="BI200" i="5"/>
  <c r="BJ200" i="5"/>
  <c r="BJ163" i="5"/>
  <c r="BI163" i="5"/>
  <c r="BJ244" i="5"/>
  <c r="BI244" i="5"/>
  <c r="BI465" i="5"/>
  <c r="BJ465" i="5"/>
  <c r="BJ456" i="5"/>
  <c r="BI456" i="5"/>
  <c r="BI296" i="5"/>
  <c r="BJ296" i="5"/>
  <c r="BI97" i="5"/>
  <c r="BJ97" i="5"/>
  <c r="BJ323" i="5"/>
  <c r="BI323" i="5"/>
  <c r="BI487" i="5"/>
  <c r="BJ487" i="5"/>
  <c r="BJ111" i="5"/>
  <c r="BI111" i="5"/>
  <c r="BI295" i="5"/>
  <c r="BJ295" i="5"/>
  <c r="BJ133" i="5"/>
  <c r="BI133" i="5"/>
  <c r="BI223" i="5"/>
  <c r="BJ223" i="5"/>
  <c r="BI485" i="5"/>
  <c r="BJ485" i="5"/>
  <c r="BI399" i="5"/>
  <c r="BJ399" i="5"/>
  <c r="BI381" i="5"/>
  <c r="BJ381" i="5"/>
  <c r="BI539" i="5"/>
  <c r="BJ539" i="5"/>
  <c r="BI237" i="5"/>
  <c r="BJ237" i="5"/>
  <c r="BJ257" i="5"/>
  <c r="BI257" i="5"/>
  <c r="BJ339" i="5"/>
  <c r="BI339" i="5"/>
  <c r="BI308" i="5"/>
  <c r="BJ308" i="5"/>
  <c r="BJ56" i="5"/>
  <c r="BI56" i="5"/>
  <c r="BJ450" i="5"/>
  <c r="BI450" i="5"/>
  <c r="BI58" i="5"/>
  <c r="BJ58" i="5"/>
  <c r="BI287" i="5"/>
  <c r="BJ287" i="5"/>
  <c r="BI190" i="5"/>
  <c r="BJ190" i="5"/>
  <c r="BI96" i="5"/>
  <c r="BJ96" i="5"/>
  <c r="BJ478" i="5"/>
  <c r="BI478" i="5"/>
  <c r="BI515" i="5"/>
  <c r="BJ515" i="5"/>
  <c r="BJ508" i="5"/>
  <c r="BI508" i="5"/>
  <c r="BI245" i="5"/>
  <c r="BJ245" i="5"/>
  <c r="BJ303" i="5"/>
  <c r="BI303" i="5"/>
  <c r="BJ269" i="5"/>
  <c r="BI269" i="5"/>
  <c r="BJ378" i="5"/>
  <c r="BI378" i="5"/>
  <c r="BI217" i="5"/>
  <c r="BJ217" i="5"/>
  <c r="BJ398" i="5"/>
  <c r="BI398" i="5"/>
  <c r="BI215" i="5"/>
  <c r="BJ215" i="5"/>
  <c r="BI519" i="5"/>
  <c r="BJ519" i="5"/>
  <c r="BI375" i="5"/>
  <c r="BJ375" i="5"/>
  <c r="BJ70" i="5"/>
  <c r="BI70" i="5"/>
  <c r="BJ516" i="5"/>
  <c r="BI516" i="5"/>
  <c r="BJ107" i="5"/>
  <c r="BI107" i="5"/>
  <c r="BJ66" i="5"/>
  <c r="BI66" i="5"/>
  <c r="BJ385" i="5"/>
  <c r="BI385" i="5"/>
  <c r="BI220" i="5"/>
  <c r="BJ220" i="5"/>
  <c r="BI189" i="5"/>
  <c r="BJ189" i="5"/>
  <c r="BI247" i="5"/>
  <c r="BJ247" i="5"/>
  <c r="BJ350" i="5"/>
  <c r="BI350" i="5"/>
  <c r="BI91" i="5"/>
  <c r="BJ91" i="5"/>
  <c r="BI222" i="5"/>
  <c r="BJ222" i="5"/>
  <c r="BI320" i="5"/>
  <c r="BJ320" i="5"/>
  <c r="BJ179" i="5"/>
  <c r="BI179" i="5"/>
  <c r="BJ531" i="5"/>
  <c r="BI531" i="5"/>
  <c r="BJ317" i="5"/>
  <c r="BI317" i="5"/>
  <c r="BI34" i="5"/>
  <c r="BJ34" i="5"/>
  <c r="BI324" i="5"/>
  <c r="BJ324" i="5"/>
  <c r="BI554" i="5"/>
  <c r="BJ554" i="5"/>
  <c r="BI455" i="5"/>
  <c r="BJ455" i="5"/>
  <c r="BJ469" i="5"/>
  <c r="BI469" i="5"/>
  <c r="BI345" i="5"/>
  <c r="BJ345" i="5"/>
  <c r="BJ312" i="5"/>
  <c r="BI312" i="5"/>
  <c r="BJ277" i="5"/>
  <c r="BI277" i="5"/>
  <c r="BI466" i="5"/>
  <c r="BJ466" i="5"/>
  <c r="BJ305" i="5"/>
  <c r="BI305" i="5"/>
  <c r="BJ559" i="5"/>
  <c r="BI559" i="5"/>
  <c r="BJ352" i="5"/>
  <c r="BI352" i="5"/>
  <c r="BI283" i="5"/>
  <c r="BJ283" i="5"/>
  <c r="BJ300" i="5"/>
  <c r="BI300" i="5"/>
  <c r="BI22" i="5"/>
  <c r="BJ22" i="5"/>
  <c r="BI408" i="5"/>
  <c r="BJ408" i="5"/>
  <c r="BJ439" i="5"/>
  <c r="BI439" i="5"/>
  <c r="BJ135" i="5"/>
  <c r="BI135" i="5"/>
  <c r="BJ448" i="5"/>
  <c r="BI448" i="5"/>
  <c r="BI344" i="5"/>
  <c r="BJ344" i="5"/>
  <c r="BI384" i="5"/>
  <c r="BJ384" i="5"/>
  <c r="BJ157" i="5"/>
  <c r="BI157" i="5"/>
  <c r="BJ11" i="5"/>
  <c r="BI11" i="5"/>
  <c r="BJ290" i="5"/>
  <c r="BI290" i="5"/>
  <c r="BI27" i="5"/>
  <c r="BJ27" i="5"/>
  <c r="BI120" i="5"/>
  <c r="BJ120" i="5"/>
  <c r="BI416" i="5"/>
  <c r="BJ416" i="5"/>
  <c r="BJ556" i="5"/>
  <c r="BI556" i="5"/>
  <c r="BI82" i="5"/>
  <c r="BJ82" i="5"/>
  <c r="BJ433" i="5"/>
  <c r="BI433" i="5"/>
  <c r="BJ212" i="5"/>
  <c r="BI212" i="5"/>
  <c r="BI435" i="5"/>
  <c r="BJ435" i="5"/>
  <c r="BJ342" i="5"/>
  <c r="BI342" i="5"/>
  <c r="BI521" i="5"/>
  <c r="BJ521" i="5"/>
  <c r="BJ442" i="5"/>
  <c r="BI442" i="5"/>
  <c r="BJ284" i="5"/>
  <c r="BI284" i="5"/>
  <c r="BJ560" i="5"/>
  <c r="BI560" i="5"/>
  <c r="BJ187" i="5"/>
  <c r="BI187" i="5"/>
  <c r="BJ387" i="5"/>
  <c r="BI387" i="5"/>
  <c r="BI367" i="5"/>
  <c r="BJ367" i="5"/>
  <c r="BJ260" i="5"/>
  <c r="BI260" i="5"/>
  <c r="BI224" i="5"/>
  <c r="BJ224" i="5"/>
  <c r="BJ100" i="5"/>
  <c r="BI100" i="5"/>
  <c r="BJ540" i="5"/>
  <c r="BI540" i="5"/>
  <c r="BJ500" i="5"/>
  <c r="BI500" i="5"/>
  <c r="BJ550" i="5"/>
  <c r="BI550" i="5"/>
  <c r="BJ44" i="5"/>
  <c r="BI44" i="5"/>
  <c r="BJ417" i="5"/>
  <c r="BI417" i="5"/>
  <c r="BJ80" i="5"/>
  <c r="BI80" i="5"/>
  <c r="BJ400" i="5"/>
  <c r="BI400" i="5"/>
  <c r="BJ325" i="5"/>
  <c r="BI325" i="5"/>
  <c r="BI170" i="5"/>
  <c r="BJ170" i="5"/>
  <c r="BJ19" i="5"/>
  <c r="BI19" i="5"/>
  <c r="BI60" i="5"/>
  <c r="BJ60" i="5"/>
  <c r="BI409" i="5"/>
  <c r="BJ409" i="5"/>
  <c r="BI264" i="5"/>
  <c r="BJ264" i="5"/>
  <c r="BI298" i="5"/>
  <c r="BJ298" i="5"/>
  <c r="BI445" i="5"/>
  <c r="BJ445" i="5"/>
  <c r="BI201" i="5"/>
  <c r="BJ201" i="5"/>
  <c r="BI431" i="5"/>
  <c r="BJ431" i="5"/>
  <c r="BJ158" i="5"/>
  <c r="BI158" i="5"/>
  <c r="BJ73" i="5"/>
  <c r="BI73" i="5"/>
  <c r="BJ213" i="5"/>
  <c r="BI213" i="5"/>
  <c r="BI418" i="5"/>
  <c r="BJ418" i="5"/>
  <c r="BJ26" i="5"/>
  <c r="BI26" i="5"/>
  <c r="BJ85" i="5"/>
  <c r="BI85" i="5"/>
  <c r="BI155" i="5"/>
  <c r="BJ155" i="5"/>
  <c r="BJ472" i="5"/>
  <c r="BI472" i="5"/>
  <c r="BJ69" i="5"/>
  <c r="BI69" i="5"/>
  <c r="BJ270" i="5"/>
  <c r="BI270" i="5"/>
  <c r="BI376" i="5"/>
  <c r="BJ376" i="5"/>
  <c r="BI184" i="5"/>
  <c r="BJ184" i="5"/>
  <c r="BI527" i="5"/>
  <c r="BJ527" i="5"/>
  <c r="BI218" i="5"/>
  <c r="BJ218" i="5"/>
  <c r="BI353" i="5"/>
  <c r="BJ353" i="5"/>
  <c r="BI229" i="5"/>
  <c r="BJ229" i="5"/>
  <c r="BI37" i="5"/>
  <c r="BJ37" i="5"/>
  <c r="BJ530" i="5"/>
  <c r="BI530" i="5"/>
  <c r="BJ315" i="5"/>
  <c r="BI315" i="5"/>
  <c r="BJ231" i="5"/>
  <c r="BI231" i="5"/>
  <c r="BI377" i="5"/>
  <c r="BJ377" i="5"/>
  <c r="BI216" i="5"/>
  <c r="BJ216" i="5"/>
  <c r="BI43" i="5"/>
  <c r="BJ43" i="5"/>
  <c r="BJ195" i="5"/>
  <c r="BI195" i="5"/>
  <c r="BJ86" i="5"/>
  <c r="BI86" i="5"/>
  <c r="BI492" i="5"/>
  <c r="BJ492" i="5"/>
  <c r="BI313" i="5"/>
  <c r="BJ313" i="5"/>
  <c r="BI248" i="5"/>
  <c r="BJ248" i="5"/>
  <c r="BJ319" i="5"/>
  <c r="BI319" i="5"/>
  <c r="BJ38" i="5"/>
  <c r="BI38" i="5"/>
  <c r="BJ119" i="5"/>
  <c r="BI119" i="5"/>
  <c r="BI48" i="5"/>
  <c r="BJ48" i="5"/>
  <c r="BJ104" i="5"/>
  <c r="BI104" i="5"/>
  <c r="BI520" i="5"/>
  <c r="BJ520" i="5"/>
  <c r="BI162" i="5"/>
  <c r="BJ162" i="5"/>
  <c r="BJ488" i="5"/>
  <c r="BI488" i="5"/>
  <c r="BI272" i="5"/>
  <c r="BJ272" i="5"/>
  <c r="BI306" i="5"/>
  <c r="BJ306" i="5"/>
  <c r="BI267" i="5"/>
  <c r="BJ267" i="5"/>
  <c r="BI359" i="5"/>
  <c r="BJ359" i="5"/>
  <c r="BJ186" i="5"/>
  <c r="BI186" i="5"/>
  <c r="BJ62" i="5"/>
  <c r="BI62" i="5"/>
  <c r="BJ314" i="5"/>
  <c r="BI314" i="5"/>
  <c r="BJ122" i="5"/>
  <c r="BI122" i="5"/>
  <c r="BJ328" i="5"/>
  <c r="BI328" i="5"/>
  <c r="BI105" i="5"/>
  <c r="BJ105" i="5"/>
  <c r="BI266" i="5"/>
  <c r="BJ266" i="5"/>
  <c r="BJ12" i="5"/>
  <c r="BI12" i="5"/>
  <c r="BI426" i="5"/>
  <c r="BJ426" i="5"/>
  <c r="BJ79" i="5"/>
  <c r="BI79" i="5"/>
  <c r="BJ341" i="5"/>
  <c r="BI341" i="5"/>
  <c r="BI481" i="5"/>
  <c r="BJ481" i="5"/>
  <c r="BJ292" i="5"/>
  <c r="BI292" i="5"/>
  <c r="BJ45" i="5"/>
  <c r="BI45" i="5"/>
  <c r="BJ459" i="5"/>
  <c r="BI459" i="5"/>
  <c r="BJ462" i="5"/>
  <c r="BI462" i="5"/>
  <c r="BJ77" i="5"/>
  <c r="BI77" i="5"/>
  <c r="BJ138" i="5"/>
  <c r="BI138" i="5"/>
  <c r="BI331" i="5"/>
  <c r="BJ331" i="5"/>
  <c r="BJ401" i="5"/>
  <c r="BI401" i="5"/>
  <c r="BJ203" i="5"/>
  <c r="BI203" i="5"/>
  <c r="BJ421" i="5"/>
  <c r="BI421" i="5"/>
  <c r="BJ361" i="5"/>
  <c r="BI361" i="5"/>
  <c r="BI304" i="5"/>
  <c r="BJ304" i="5"/>
  <c r="BJ403" i="5"/>
  <c r="BI403" i="5"/>
  <c r="BJ161" i="5"/>
  <c r="BI161" i="5"/>
  <c r="BJ65" i="5"/>
  <c r="BI65" i="5"/>
  <c r="BJ191" i="5"/>
  <c r="BI191" i="5"/>
  <c r="BJ89" i="5"/>
  <c r="BI89" i="5"/>
  <c r="BJ72" i="5"/>
  <c r="BI72" i="5"/>
  <c r="BJ188" i="5"/>
  <c r="BI188" i="5"/>
  <c r="BI382" i="5"/>
  <c r="BJ382" i="5"/>
  <c r="BJ10" i="5"/>
  <c r="BI10" i="5"/>
  <c r="BJ151" i="5"/>
  <c r="BI151" i="5"/>
  <c r="BI210" i="5"/>
  <c r="BJ210" i="5"/>
  <c r="BI420" i="5"/>
  <c r="BJ420" i="5"/>
  <c r="BJ152" i="5"/>
  <c r="BI152" i="5"/>
  <c r="BJ254" i="5"/>
  <c r="BI254" i="5"/>
  <c r="BI386" i="5"/>
  <c r="BJ386" i="5"/>
  <c r="BI47" i="5"/>
  <c r="BJ47" i="5"/>
  <c r="BI316" i="5"/>
  <c r="BJ316" i="5"/>
  <c r="BI552" i="5"/>
  <c r="BJ552" i="5"/>
  <c r="BI279" i="5"/>
  <c r="BJ279" i="5"/>
  <c r="BI415" i="5"/>
  <c r="BJ415" i="5"/>
  <c r="BI447" i="5"/>
  <c r="BJ447" i="5"/>
  <c r="BJ55" i="5"/>
  <c r="BI55" i="5"/>
  <c r="BI479" i="5"/>
  <c r="BJ479" i="5"/>
  <c r="BJ372" i="5"/>
  <c r="BI372" i="5"/>
  <c r="BJ436" i="5"/>
  <c r="BI436" i="5"/>
  <c r="BJ311" i="5"/>
  <c r="BI311" i="5"/>
  <c r="BI252" i="5"/>
  <c r="BJ252" i="5"/>
  <c r="BJ227" i="5"/>
  <c r="BI227" i="5"/>
  <c r="BI547" i="5"/>
  <c r="BJ547" i="5"/>
  <c r="BI36" i="5"/>
  <c r="BJ36" i="5"/>
  <c r="BI495" i="5"/>
  <c r="BJ495" i="5"/>
  <c r="BJ194" i="5"/>
  <c r="BI194" i="5"/>
  <c r="BI393" i="5"/>
  <c r="BJ393" i="5"/>
  <c r="BJ355" i="5"/>
  <c r="BI355" i="5"/>
  <c r="BJ228" i="5"/>
  <c r="BI228" i="5"/>
  <c r="BJ489" i="5"/>
  <c r="BI489" i="5"/>
  <c r="BJ348" i="5"/>
  <c r="BI348" i="5"/>
  <c r="BI181" i="5"/>
  <c r="BJ181" i="5"/>
  <c r="BJ288" i="5"/>
  <c r="BI288" i="5"/>
  <c r="BJ423" i="5"/>
  <c r="BI423" i="5"/>
  <c r="BI241" i="5"/>
  <c r="BJ241" i="5"/>
  <c r="BJ451" i="5"/>
  <c r="BI451" i="5"/>
  <c r="BI238" i="5"/>
  <c r="BJ238" i="5"/>
  <c r="BI233" i="5"/>
  <c r="BJ233" i="5"/>
  <c r="BJ169" i="5"/>
  <c r="BI169" i="5"/>
  <c r="BJ449" i="5"/>
  <c r="BI449" i="5"/>
  <c r="BI175" i="5"/>
  <c r="BJ175" i="5"/>
  <c r="BJ88" i="5"/>
  <c r="BI88" i="5"/>
  <c r="BJ432" i="5"/>
  <c r="BI432" i="5"/>
  <c r="BJ357" i="5"/>
  <c r="BI357" i="5"/>
  <c r="BI259" i="5"/>
  <c r="BJ259" i="5"/>
  <c r="BI446" i="5"/>
  <c r="BJ446" i="5"/>
  <c r="BJ458" i="5"/>
  <c r="BI458" i="5"/>
  <c r="BJ177" i="5"/>
  <c r="BI177" i="5"/>
  <c r="BJ153" i="5"/>
  <c r="BI153" i="5"/>
  <c r="BJ126" i="5"/>
  <c r="BI126" i="5"/>
  <c r="BJ137" i="5"/>
  <c r="BI137" i="5"/>
  <c r="BI291" i="5"/>
  <c r="BJ291" i="5"/>
  <c r="BJ441" i="5"/>
  <c r="BI441" i="5"/>
  <c r="BI517" i="5"/>
  <c r="BJ517" i="5"/>
  <c r="BJ480" i="5"/>
  <c r="BI480" i="5"/>
  <c r="BI551" i="5"/>
  <c r="BJ551" i="5"/>
  <c r="BI444" i="5"/>
  <c r="BJ444" i="5"/>
  <c r="BI503" i="5"/>
  <c r="BJ503" i="5"/>
  <c r="BJ366" i="5"/>
  <c r="BI366" i="5"/>
  <c r="BI236" i="5"/>
  <c r="BJ236" i="5"/>
  <c r="BJ362" i="5"/>
  <c r="BI362" i="5"/>
  <c r="BJ468" i="5"/>
  <c r="BI468" i="5"/>
  <c r="BJ193" i="5"/>
  <c r="BI193" i="5"/>
  <c r="BI533" i="5"/>
  <c r="BJ533" i="5"/>
  <c r="BJ176" i="5"/>
  <c r="BI176" i="5"/>
  <c r="AD7" i="5"/>
  <c r="BG7" i="5"/>
  <c r="BL7" i="5" s="1"/>
  <c r="AC7" i="5"/>
  <c r="BO12" i="5" l="1"/>
  <c r="D77" i="5" s="1"/>
  <c r="B77" i="5" s="1"/>
  <c r="A77" i="5" s="1"/>
  <c r="BO14" i="5"/>
  <c r="D78" i="5" s="1"/>
  <c r="B78" i="5" s="1"/>
  <c r="A78" i="5" s="1"/>
  <c r="BF7" i="5"/>
  <c r="BK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Lee, Eric</author>
    <author>Schwarz, Niklas</author>
    <author>PPD-NPS</author>
  </authors>
  <commentList>
    <comment ref="A3" authorId="0" shapeId="0" xr:uid="{00000000-0006-0000-0000-000001000000}">
      <text>
        <r>
          <rPr>
            <b/>
            <sz val="12"/>
            <color indexed="10"/>
            <rFont val="Tahoma"/>
            <family val="2"/>
          </rPr>
          <t>Welcome to the LM5122 Design Tool</t>
        </r>
        <r>
          <rPr>
            <b/>
            <sz val="8"/>
            <color indexed="81"/>
            <rFont val="Tahoma"/>
            <family val="2"/>
          </rPr>
          <t xml:space="preserve">
</t>
        </r>
        <r>
          <rPr>
            <sz val="9"/>
            <color indexed="81"/>
            <rFont val="Tahoma"/>
            <family val="2"/>
          </rPr>
          <t xml:space="preserve">This stand-alone tool facilitates and assists the power supply engineer with design of a DC-DC boost converter based on the LM5122 automotive boost controller. As such, the user can expeditiously arrive at an optimized design by virtue of the following:
- Select components
- Optimize compensation values and pole/zero placement in terms of control loop stability using crossover frquency as a performance metric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r>
          <rPr>
            <b/>
            <sz val="8"/>
            <color indexed="81"/>
            <rFont val="Tahoma"/>
            <family val="2"/>
          </rPr>
          <t xml:space="preserve">
</t>
        </r>
      </text>
    </comment>
    <comment ref="H7" authorId="1" shapeId="0" xr:uid="{9E02A33E-5806-4D4B-B339-0A036D81093F}">
      <text>
        <r>
          <rPr>
            <b/>
            <sz val="9"/>
            <color indexed="81"/>
            <rFont val="Tahoma"/>
            <family val="2"/>
          </rPr>
          <t xml:space="preserve">Minimum Input Voltage:
</t>
        </r>
        <r>
          <rPr>
            <sz val="9"/>
            <color indexed="81"/>
            <rFont val="Tahoma"/>
            <family val="2"/>
          </rPr>
          <t>Enter the minimum operating input voltage.
The LM5122 VIN pin voltage operating range is 4.5V to 65V.
The minimum input power supply voltage can be 3V after start-up if VIN voltage is supplied from an external source.
Please check datasheet for applications with VCC&gt;VIN
The text in the cell is flagged orange if:
-The input voltage is below 4.5V
The text in the cell is flagged red if:
-The input voltage is above 65V
-The input voltage is below 3V</t>
        </r>
      </text>
    </comment>
    <comment ref="H8" authorId="1" shapeId="0" xr:uid="{9BF67A2B-60FE-443F-A869-3EA2981AE0D0}">
      <text>
        <r>
          <rPr>
            <b/>
            <sz val="9"/>
            <color indexed="81"/>
            <rFont val="Tahoma"/>
            <family val="2"/>
          </rPr>
          <t xml:space="preserve">Minimum Input Voltage:
</t>
        </r>
        <r>
          <rPr>
            <sz val="9"/>
            <color indexed="81"/>
            <rFont val="Tahoma"/>
            <family val="2"/>
          </rPr>
          <t>Enter the minimum operating input voltage.
The LM5122 VIN pin voltage operating range is 4.5V to 65V.
The minimum input power supply voltage can be 3V after start-up if VIN voltage is supplied from an external source.
Please check datasheet for applications with VCC&gt;VIN
The text in the cell is flagged orange if:
-The input voltage is below 4.5V
The text in the cell is flagged red if:
-The input voltage is above 65V
-The input voltage is below 3V</t>
        </r>
      </text>
    </comment>
    <comment ref="H9" authorId="1" shapeId="0" xr:uid="{E8836D0E-4B1C-403E-9FDE-3C13E2E9EC51}">
      <text>
        <r>
          <rPr>
            <b/>
            <sz val="9"/>
            <color indexed="81"/>
            <rFont val="Tahoma"/>
            <family val="2"/>
          </rPr>
          <t xml:space="preserve">Maximum Input Voltage:
</t>
        </r>
        <r>
          <rPr>
            <sz val="9"/>
            <color indexed="81"/>
            <rFont val="Tahoma"/>
            <family val="2"/>
          </rPr>
          <t>Enter the maximum operating input voltage.
The LM5122 VIN pin voltage operating range is 4.5V to 65V.
The minimum input power supply voltage can be 3V after start-up if VIN voltage is supplied from an external source.
Please check datasheet for applications with VCC&gt;VIN
The text in the cell is flagged orange if:
-The input voltage is below 4.5V
The text in the cell is flagged red if:
-The input voltage is above 65V
-The input voltage is below 3V</t>
        </r>
      </text>
    </comment>
    <comment ref="H13" authorId="1" shapeId="0" xr:uid="{20881EC3-BD03-4F1B-A340-271369461B04}">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17" authorId="1" shapeId="0" xr:uid="{57E38D5B-3F16-41A0-8AD3-227539B49DF2}">
      <text>
        <r>
          <rPr>
            <b/>
            <sz val="9"/>
            <color indexed="81"/>
            <rFont val="Tahoma"/>
            <family val="2"/>
          </rPr>
          <t xml:space="preserve">Operating Frequency (set by RT):
</t>
        </r>
        <r>
          <rPr>
            <sz val="9"/>
            <color indexed="81"/>
            <rFont val="Tahoma"/>
            <family val="2"/>
          </rPr>
          <t>This cell defines the free-running switching frequency set by the RT resistor. 
The text in the cell is flagged red if:
- The frequency is below 50kHz
-The frequency is above 1MHz</t>
        </r>
      </text>
    </comment>
    <comment ref="H25" authorId="1" shapeId="0" xr:uid="{A5A322B5-FE39-4C90-9952-343B2FBA611A}">
      <text>
        <r>
          <rPr>
            <sz val="9"/>
            <color indexed="81"/>
            <rFont val="Tahoma"/>
            <family val="2"/>
          </rPr>
          <t>The inductor ripple current is typically set between 20% and 40% of the full load current, known as a good
compromise between core loss and copper loss of the inductor.</t>
        </r>
      </text>
    </comment>
    <comment ref="H50" authorId="2" shapeId="0" xr:uid="{00000000-0006-0000-0000-000003000000}">
      <text>
        <r>
          <rPr>
            <b/>
            <sz val="9"/>
            <color indexed="81"/>
            <rFont val="Tahoma"/>
            <family val="2"/>
          </rPr>
          <t>K Factor Selection:</t>
        </r>
        <r>
          <rPr>
            <sz val="9"/>
            <color indexed="81"/>
            <rFont val="Tahoma"/>
            <family val="2"/>
          </rPr>
          <t xml:space="preserve">
A recommended K factor is in the range of 0.5 to 3.
As the freqeuncy increases this should become closer to 1.
Default value is 1.
</t>
        </r>
      </text>
    </comment>
    <comment ref="H51" authorId="2" shapeId="0" xr:uid="{00000000-0006-0000-0000-000004000000}">
      <text>
        <r>
          <rPr>
            <b/>
            <sz val="9"/>
            <color indexed="81"/>
            <rFont val="Tahoma"/>
            <family val="2"/>
          </rPr>
          <t xml:space="preserve">RSLOPE_MIN
</t>
        </r>
        <r>
          <rPr>
            <sz val="9"/>
            <color indexed="81"/>
            <rFont val="Tahoma"/>
            <family val="2"/>
          </rPr>
          <t>The selected Slope compensation resistor must be larger than this value to ensure sub-harmonic osicllation will not occur</t>
        </r>
      </text>
    </comment>
    <comment ref="H52" authorId="1" shapeId="0" xr:uid="{2986D49A-DFF5-49F7-87C8-0EB32CF89831}">
      <text>
        <r>
          <rPr>
            <b/>
            <sz val="9"/>
            <color indexed="81"/>
            <rFont val="Tahoma"/>
            <family val="2"/>
          </rPr>
          <t xml:space="preserve">Calculated Slope Compensation Resistor
</t>
        </r>
        <r>
          <rPr>
            <sz val="9"/>
            <color indexed="81"/>
            <rFont val="Tahoma"/>
            <family val="2"/>
          </rPr>
          <t>If this value is smaller than the minimum slope compensation, the minimum slope compensation resistance is recommended.</t>
        </r>
      </text>
    </comment>
    <comment ref="H57" authorId="1" shapeId="0" xr:uid="{0E94C8EE-53F9-4237-AB24-457742CEE8A7}">
      <text>
        <r>
          <rPr>
            <b/>
            <sz val="9"/>
            <color indexed="81"/>
            <rFont val="Tahoma"/>
            <family val="2"/>
          </rPr>
          <t xml:space="preserve">Minimum output capacitance
</t>
        </r>
        <r>
          <rPr>
            <sz val="9"/>
            <color indexed="81"/>
            <rFont val="Tahoma"/>
            <family val="2"/>
          </rPr>
          <t xml:space="preserve">This is the </t>
        </r>
        <r>
          <rPr>
            <b/>
            <sz val="9"/>
            <color indexed="81"/>
            <rFont val="Tahoma"/>
            <family val="2"/>
          </rPr>
          <t>minimum</t>
        </r>
        <r>
          <rPr>
            <sz val="9"/>
            <color indexed="81"/>
            <rFont val="Tahoma"/>
            <family val="2"/>
          </rPr>
          <t xml:space="preserve"> recommended output capacitance for for the total output. (Not per phase capacitance)</t>
        </r>
      </text>
    </comment>
    <comment ref="H80" authorId="1" shapeId="0" xr:uid="{9C150BF3-01E7-4E1D-80AD-0FC3AC0CCF67}">
      <text>
        <r>
          <rPr>
            <sz val="9"/>
            <color indexed="81"/>
            <rFont val="Tahoma"/>
            <family val="2"/>
          </rPr>
          <t>Cross over frequency is recommended to be at one fifth of the RHP zero or one tenth of the switching frequency whichever is lower.</t>
        </r>
      </text>
    </comment>
    <comment ref="H82" authorId="1" shapeId="0" xr:uid="{337A7983-B99A-454F-90AF-447DBF90B836}">
      <text>
        <r>
          <rPr>
            <b/>
            <sz val="9"/>
            <color indexed="81"/>
            <rFont val="Tahoma"/>
            <family val="2"/>
          </rPr>
          <t>Changes the input voltage value. Allow for evaluation of the control loop and efficiency at different input voltages.</t>
        </r>
        <r>
          <rPr>
            <sz val="9"/>
            <color indexed="81"/>
            <rFont val="Tahoma"/>
            <family val="2"/>
          </rPr>
          <t xml:space="preserve">
This cell is flagged red if:
-Voltage is below Vin_min
-Voltage is above Vin_max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F89FF205-732B-45BE-A67A-6EA06C7963FD}">
      <text>
        <r>
          <rPr>
            <b/>
            <sz val="9"/>
            <color indexed="81"/>
            <rFont val="Tahoma"/>
            <family val="2"/>
          </rPr>
          <t xml:space="preserve">1 = DCM operation
2 = CCM operation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44F7D75C-E169-4BF4-A542-29536A0DD506}">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PPD-NPS</author>
  </authors>
  <commentList>
    <comment ref="E3" authorId="0" shapeId="0" xr:uid="{00000000-0006-0000-0100-000001000000}">
      <text>
        <r>
          <rPr>
            <b/>
            <sz val="9"/>
            <color indexed="81"/>
            <rFont val="Tahoma"/>
            <family val="2"/>
          </rPr>
          <t xml:space="preserve">Will flag for the following conditions:
</t>
        </r>
        <r>
          <rPr>
            <sz val="9"/>
            <color indexed="81"/>
            <rFont val="Tahoma"/>
            <family val="2"/>
          </rPr>
          <t xml:space="preserve">-Minimum input voltage is greater than the typical input voltage
-If lower than the minimum input voltage required to start-up (5V)
-Lower than 3V. IF operation is needed here the common mode voltage of the current sense amplifier needs to be pulled high to keep it operating
</t>
        </r>
      </text>
    </comment>
    <comment ref="E4" authorId="0" shapeId="0" xr:uid="{00000000-0006-0000-0100-000002000000}">
      <text>
        <r>
          <rPr>
            <b/>
            <sz val="9"/>
            <color indexed="81"/>
            <rFont val="Tahoma"/>
            <family val="2"/>
          </rPr>
          <t xml:space="preserve">Will Flag for the following conditions:
</t>
        </r>
        <r>
          <rPr>
            <sz val="9"/>
            <color indexed="81"/>
            <rFont val="Tahoma"/>
            <family val="2"/>
          </rPr>
          <t xml:space="preserve">-If the typical input voltage is greater than the maximum input voltage
</t>
        </r>
      </text>
    </comment>
    <comment ref="E5" authorId="0" shapeId="0" xr:uid="{00000000-0006-0000-0100-000003000000}">
      <text>
        <r>
          <rPr>
            <b/>
            <sz val="9"/>
            <color indexed="81"/>
            <rFont val="Tahoma"/>
            <family val="2"/>
          </rPr>
          <t xml:space="preserve">Will flag for the follow conditions:
</t>
        </r>
        <r>
          <rPr>
            <sz val="9"/>
            <color indexed="81"/>
            <rFont val="Tahoma"/>
            <family val="2"/>
          </rPr>
          <t xml:space="preserve">-The maximum input voltage is above the target output voltage. This indicates that the device will operate in bypass mode
</t>
        </r>
      </text>
    </comment>
    <comment ref="E6" authorId="0" shapeId="0" xr:uid="{00000000-0006-0000-0100-000004000000}">
      <text>
        <r>
          <rPr>
            <b/>
            <sz val="9"/>
            <color indexed="81"/>
            <rFont val="Tahoma"/>
            <family val="2"/>
          </rPr>
          <t xml:space="preserve">Will flag for the following conditions:
</t>
        </r>
        <r>
          <rPr>
            <sz val="9"/>
            <color indexed="81"/>
            <rFont val="Tahoma"/>
            <family val="2"/>
          </rPr>
          <t xml:space="preserve">-Above the maximum switching frequency
-Below the minimum switching freqeuncy
</t>
        </r>
      </text>
    </comment>
    <comment ref="E9" authorId="0" shapeId="0" xr:uid="{00000000-0006-0000-0100-000005000000}">
      <text>
        <r>
          <rPr>
            <b/>
            <sz val="9"/>
            <color indexed="81"/>
            <rFont val="Tahoma"/>
            <family val="2"/>
          </rPr>
          <t xml:space="preserve">Will flag for the following conditions:
</t>
        </r>
        <r>
          <rPr>
            <sz val="9"/>
            <color indexed="81"/>
            <rFont val="Tahoma"/>
            <family val="2"/>
          </rPr>
          <t>-Output voltage is greater than the maximum rating on the SW pin voltage (100V)</t>
        </r>
      </text>
    </comment>
    <comment ref="E14" authorId="0" shapeId="0" xr:uid="{00000000-0006-0000-0100-000006000000}">
      <text>
        <r>
          <rPr>
            <b/>
            <sz val="9"/>
            <color indexed="81"/>
            <rFont val="Tahoma"/>
            <family val="2"/>
          </rPr>
          <t>Will flag for the following conditions</t>
        </r>
        <r>
          <rPr>
            <sz val="9"/>
            <color indexed="81"/>
            <rFont val="Tahoma"/>
            <family val="2"/>
          </rPr>
          <t xml:space="preserve">
-External VCC voltage is greater then abs max value
-Exteranl VCC is less than the VCC UVLO voltage
</t>
        </r>
      </text>
    </comment>
    <comment ref="E23" authorId="0" shapeId="0" xr:uid="{00000000-0006-0000-0100-000007000000}">
      <text>
        <r>
          <rPr>
            <b/>
            <sz val="9"/>
            <color indexed="81"/>
            <rFont val="Tahoma"/>
            <family val="2"/>
          </rPr>
          <t>If this value is 1 then the forced off time is to large for the step up ratio and the switching freqeuncy should be decreased</t>
        </r>
        <r>
          <rPr>
            <sz val="9"/>
            <color indexed="81"/>
            <rFont val="Tahoma"/>
            <family val="2"/>
          </rPr>
          <t xml:space="preserve">
</t>
        </r>
      </text>
    </comment>
    <comment ref="E33" authorId="0" shapeId="0" xr:uid="{00000000-0006-0000-0100-000008000000}">
      <text>
        <r>
          <rPr>
            <b/>
            <sz val="9"/>
            <color indexed="81"/>
            <rFont val="Tahoma"/>
            <family val="2"/>
          </rPr>
          <t xml:space="preserve">Will flag for the following conditions:
</t>
        </r>
        <r>
          <rPr>
            <sz val="9"/>
            <color indexed="81"/>
            <rFont val="Tahoma"/>
            <family val="2"/>
          </rPr>
          <t xml:space="preserve">-Minimum off time violation
</t>
        </r>
        <r>
          <rPr>
            <b/>
            <sz val="9"/>
            <color indexed="81"/>
            <rFont val="Tahoma"/>
            <family val="2"/>
          </rPr>
          <t xml:space="preserve">
</t>
        </r>
      </text>
    </comment>
    <comment ref="E89" authorId="0" shapeId="0" xr:uid="{00000000-0006-0000-0100-000009000000}">
      <text>
        <r>
          <rPr>
            <b/>
            <sz val="9"/>
            <color indexed="81"/>
            <rFont val="Tahoma"/>
            <family val="2"/>
          </rPr>
          <t xml:space="preserve">Will flag for the following conditions:
</t>
        </r>
        <r>
          <rPr>
            <sz val="9"/>
            <color indexed="81"/>
            <rFont val="Tahoma"/>
            <family val="2"/>
          </rPr>
          <t xml:space="preserve">-The Peak Current Limit is lower than the calculated peak current 
</t>
        </r>
      </text>
    </comment>
    <comment ref="E90" authorId="0" shapeId="0" xr:uid="{00000000-0006-0000-0100-00000A000000}">
      <text>
        <r>
          <rPr>
            <b/>
            <sz val="9"/>
            <color indexed="81"/>
            <rFont val="Tahoma"/>
            <family val="2"/>
          </rPr>
          <t>Will flag for the following conditions:</t>
        </r>
        <r>
          <rPr>
            <sz val="9"/>
            <color indexed="81"/>
            <rFont val="Tahoma"/>
            <family val="2"/>
          </rPr>
          <t xml:space="preserve">
-The Peak Current Limit is lower than the calculated peak current </t>
        </r>
      </text>
    </comment>
    <comment ref="E91" authorId="0" shapeId="0" xr:uid="{00000000-0006-0000-0100-00000B000000}">
      <text>
        <r>
          <rPr>
            <b/>
            <sz val="9"/>
            <color indexed="81"/>
            <rFont val="Tahoma"/>
            <family val="2"/>
          </rPr>
          <t xml:space="preserve">Will flag for the following conditions:
</t>
        </r>
        <r>
          <rPr>
            <sz val="9"/>
            <color indexed="81"/>
            <rFont val="Tahoma"/>
            <family val="2"/>
          </rPr>
          <t xml:space="preserve">-The Peak Current Limit is lower than the calculated peak current 
</t>
        </r>
      </text>
    </comment>
    <comment ref="E101" authorId="0" shapeId="0" xr:uid="{00000000-0006-0000-0100-00000C000000}">
      <text>
        <r>
          <rPr>
            <b/>
            <sz val="9"/>
            <color indexed="81"/>
            <rFont val="Tahoma"/>
            <family val="2"/>
          </rPr>
          <t>Will flag for the following conditions:
-</t>
        </r>
        <r>
          <rPr>
            <sz val="9"/>
            <color indexed="81"/>
            <rFont val="Tahoma"/>
            <family val="2"/>
          </rPr>
          <t xml:space="preserve">The Selected Rslope value is smaller than the minimum calculated value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N18" authorId="0" shapeId="0" xr:uid="{01A9A47D-F188-45CB-A9E3-57FE1476E0B3}">
      <text>
        <r>
          <rPr>
            <b/>
            <sz val="9"/>
            <color indexed="81"/>
            <rFont val="Tahoma"/>
            <family val="2"/>
          </rPr>
          <t>BMC-BCS:</t>
        </r>
        <r>
          <rPr>
            <sz val="9"/>
            <color indexed="81"/>
            <rFont val="Tahoma"/>
            <family val="2"/>
          </rPr>
          <t xml:space="preserve">
Need to make this log not linear at some point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PPD-NPS</author>
  </authors>
  <commentList>
    <comment ref="J3" authorId="0" shapeId="0" xr:uid="{00000000-0006-0000-0300-000001000000}">
      <text>
        <r>
          <rPr>
            <b/>
            <sz val="9"/>
            <color indexed="81"/>
            <rFont val="Tahoma"/>
            <family val="2"/>
          </rPr>
          <t>PPD-NPS:</t>
        </r>
        <r>
          <rPr>
            <sz val="9"/>
            <color indexed="81"/>
            <rFont val="Tahoma"/>
            <family val="2"/>
          </rPr>
          <t xml:space="preserve">
IOUT per Phase
</t>
        </r>
      </text>
    </comment>
  </commentList>
</comments>
</file>

<file path=xl/sharedStrings.xml><?xml version="1.0" encoding="utf-8"?>
<sst xmlns="http://schemas.openxmlformats.org/spreadsheetml/2006/main" count="1275" uniqueCount="722">
  <si>
    <t>Parameter</t>
  </si>
  <si>
    <t>Test Conditions</t>
  </si>
  <si>
    <t>Min</t>
  </si>
  <si>
    <t>Typ</t>
  </si>
  <si>
    <t>Max</t>
  </si>
  <si>
    <t>Units</t>
  </si>
  <si>
    <t>VIN shutdown current</t>
  </si>
  <si>
    <t>VIN Supply</t>
  </si>
  <si>
    <t>VIN operating current (no RT resistor)</t>
  </si>
  <si>
    <t>UVLO = 0V</t>
  </si>
  <si>
    <t>UVLO = 2 V, no Switching</t>
  </si>
  <si>
    <t>VCC Regulator</t>
  </si>
  <si>
    <t>Vcc regulation</t>
  </si>
  <si>
    <t>Vcc dropout (VIN to VCC)</t>
  </si>
  <si>
    <t>VCC sourcing current limit</t>
  </si>
  <si>
    <t>VCC operating current</t>
  </si>
  <si>
    <t>VCC undervoltage threshold</t>
  </si>
  <si>
    <t>VCC undervoltage hysteresis</t>
  </si>
  <si>
    <t>Undervoltage Lockout</t>
  </si>
  <si>
    <t>UVLO threshold</t>
  </si>
  <si>
    <t>UVLO hysteresis current</t>
  </si>
  <si>
    <t>UVLO standby enable threshold</t>
  </si>
  <si>
    <t>UVLO standy enable hystersis</t>
  </si>
  <si>
    <t>No load</t>
  </si>
  <si>
    <t>VIN=4.5V, no external load</t>
  </si>
  <si>
    <t>VIN=4.5V, IVCC = 25mA</t>
  </si>
  <si>
    <t>VCC=0V</t>
  </si>
  <si>
    <t>VCC = 8.3V</t>
  </si>
  <si>
    <t>VCC= 12V</t>
  </si>
  <si>
    <t>VCC rising, VIN = 4.5V</t>
  </si>
  <si>
    <t>VCC falling, VIN = 4.5V</t>
  </si>
  <si>
    <t>UVLO rising</t>
  </si>
  <si>
    <t>UVLO = 1.4V</t>
  </si>
  <si>
    <t>A</t>
  </si>
  <si>
    <t>V</t>
  </si>
  <si>
    <t>MODE</t>
  </si>
  <si>
    <t>diode emulation mode threshold</t>
  </si>
  <si>
    <t>diode emulation mode hystersis</t>
  </si>
  <si>
    <t>Default MODE voltage</t>
  </si>
  <si>
    <t>Default skip cycle threshold</t>
  </si>
  <si>
    <t>COMP rising, measured at comp</t>
  </si>
  <si>
    <t>COMP falling, measured at COMP</t>
  </si>
  <si>
    <t>skip cycle hysteresis</t>
  </si>
  <si>
    <t>ERROR AMPLIFIER</t>
  </si>
  <si>
    <t>FB reference voltage</t>
  </si>
  <si>
    <t>FB input bias current</t>
  </si>
  <si>
    <t>COMP output high voltage</t>
  </si>
  <si>
    <t>COMP output low voltage</t>
  </si>
  <si>
    <t>DC gain</t>
  </si>
  <si>
    <t>Unity gain bandwidth</t>
  </si>
  <si>
    <t>slave mode threshold</t>
  </si>
  <si>
    <t>Mode rising</t>
  </si>
  <si>
    <t>mearued at FB, VFB=VCOMP</t>
  </si>
  <si>
    <t>VFB=VREF</t>
  </si>
  <si>
    <t>I source - 2mA, VCC =4.5V</t>
  </si>
  <si>
    <t>I source - 2mA, VCC =12V</t>
  </si>
  <si>
    <t>Isink = 2mA</t>
  </si>
  <si>
    <t>FB rising</t>
  </si>
  <si>
    <t>Oscillator</t>
  </si>
  <si>
    <t>switching frequency 1</t>
  </si>
  <si>
    <t>switching frequency 2</t>
  </si>
  <si>
    <t>RT output voltage</t>
  </si>
  <si>
    <t>RT SYNC rising threshold</t>
  </si>
  <si>
    <t>RT SYNC falling Threshold</t>
  </si>
  <si>
    <t>Minimum sync pulse width</t>
  </si>
  <si>
    <t>RT =20kOhm</t>
  </si>
  <si>
    <t>RT = 10kOhm</t>
  </si>
  <si>
    <t>RT rising</t>
  </si>
  <si>
    <t>RT falling</t>
  </si>
  <si>
    <t>dB</t>
  </si>
  <si>
    <t>Hz</t>
  </si>
  <si>
    <t>s</t>
  </si>
  <si>
    <t>CURRENT SENSE / CYCLE-BY-CYCLE CURRENT LIMIT</t>
  </si>
  <si>
    <t>Bias current matching</t>
  </si>
  <si>
    <t>HICCUP-MODE RESTART</t>
  </si>
  <si>
    <t>Hiccup counter upper threshold</t>
  </si>
  <si>
    <t>Hiccup counter lower threshold</t>
  </si>
  <si>
    <t>HO GATE DRIVER</t>
  </si>
  <si>
    <t>BST charge pump regulation</t>
  </si>
  <si>
    <t>SYNCOUT</t>
  </si>
  <si>
    <t>SYNCOUT high-state voltage</t>
  </si>
  <si>
    <t>SYNCOUT low-state voltage</t>
  </si>
  <si>
    <t>ISYNCOUT = –1 mA</t>
  </si>
  <si>
    <t>ISYNCOUT = 1 mA</t>
  </si>
  <si>
    <t>OPT</t>
  </si>
  <si>
    <t>Synchronization selection threshold</t>
  </si>
  <si>
    <t>OPT rising</t>
  </si>
  <si>
    <t>SLOPE COMPENSATION</t>
  </si>
  <si>
    <t>SLOPE output voltage</t>
  </si>
  <si>
    <t>Slope compensation amplitude</t>
  </si>
  <si>
    <t>RSLOPE = 20 kΩ, fSW = 100 kHz, 50% duty cycle, TJ = –40°C to 125°C</t>
  </si>
  <si>
    <t>RSLOPE= 20 kΩ, fSW= 100 kHz, 50% duty cycle, TJ = 25°C</t>
  </si>
  <si>
    <t>SOFT START</t>
  </si>
  <si>
    <t>SS current source</t>
  </si>
  <si>
    <t>SS discharge switch RDS-ON</t>
  </si>
  <si>
    <t>VSS = 0 V</t>
  </si>
  <si>
    <t>Ohm</t>
  </si>
  <si>
    <t>PWM COMPARATOR</t>
  </si>
  <si>
    <t>Forced LO off-time</t>
  </si>
  <si>
    <t>Minimum LO on-time</t>
  </si>
  <si>
    <t>VVCC = 5.5 V</t>
  </si>
  <si>
    <t>VVCC = 4.5 V</t>
  </si>
  <si>
    <t>RSLOPE = 20 kΩ</t>
  </si>
  <si>
    <t>RSLOPE = 200 kΩ</t>
  </si>
  <si>
    <t>TJ = –40°C to 125°C</t>
  </si>
  <si>
    <t>TJ = 25°C</t>
  </si>
  <si>
    <t>Cycle-by-cycle current limit threshold</t>
  </si>
  <si>
    <t>Zero cross detection threshold</t>
  </si>
  <si>
    <t>Current sense amplifier gain</t>
  </si>
  <si>
    <t>CSP input bias current</t>
  </si>
  <si>
    <t>CSN input bias current</t>
  </si>
  <si>
    <t>CS to LO delay</t>
  </si>
  <si>
    <t>CSP to CSN, TJ = –40°C to 125°C</t>
  </si>
  <si>
    <t>CSP to CSN, TJ = 25°C</t>
  </si>
  <si>
    <t>CSP to CSN, rising</t>
  </si>
  <si>
    <t>CSP to CSN, falling</t>
  </si>
  <si>
    <t>ICSP – ICSN</t>
  </si>
  <si>
    <t>Current sense / current limit delay</t>
  </si>
  <si>
    <t>V/V</t>
  </si>
  <si>
    <t>Restart threshold</t>
  </si>
  <si>
    <t>RES current source1</t>
  </si>
  <si>
    <t>RES current sink1</t>
  </si>
  <si>
    <t>RES current source2</t>
  </si>
  <si>
    <t>RES current sink2</t>
  </si>
  <si>
    <t>Hiccup cycle</t>
  </si>
  <si>
    <t>RES discharge switch RDS-ON</t>
  </si>
  <si>
    <t>Ratio of hiccup mode off-time to restart delay time</t>
  </si>
  <si>
    <t>RES rising</t>
  </si>
  <si>
    <t>RES rising, VVIN = VVCC = 4.5 V</t>
  </si>
  <si>
    <t>RES falling</t>
  </si>
  <si>
    <t>RES falling, VVIN = VVCC = 4.5 V</t>
  </si>
  <si>
    <t>Fault-state charging current</t>
  </si>
  <si>
    <t>Normal-state discharging current</t>
  </si>
  <si>
    <t>Hiccup-mode off-time charging current</t>
  </si>
  <si>
    <t>Hiccup-mode off-time discharging current</t>
  </si>
  <si>
    <t>Cycles</t>
  </si>
  <si>
    <t>DATASHEET Parameters</t>
  </si>
  <si>
    <t>HO high-state voltage drop</t>
  </si>
  <si>
    <t>HO low-state voltage drop</t>
  </si>
  <si>
    <t>HO rise time (10% to 90%)</t>
  </si>
  <si>
    <t>HO fall time (90% to 10%)</t>
  </si>
  <si>
    <t>Peak HO source current</t>
  </si>
  <si>
    <t>Peak HO sink current</t>
  </si>
  <si>
    <t>BST charge pump sourcing current</t>
  </si>
  <si>
    <t>BST to SW undervoltage</t>
  </si>
  <si>
    <t>BST DC bias current</t>
  </si>
  <si>
    <t>IHO = –100 mA, VOHH = VBST –VHO</t>
  </si>
  <si>
    <t>IHO = 100 mA, VOLH = VHO –VSW</t>
  </si>
  <si>
    <t>CLOAD = 4700 pF, VBST = 12 V</t>
  </si>
  <si>
    <t>VHO = 0 V, VSW = 0 V, VBST = 4.5 V</t>
  </si>
  <si>
    <t>VHO = 0 V, VSW = 0 V, VBST = 7.6 V</t>
  </si>
  <si>
    <t>VHO = VBST = 4.5 V</t>
  </si>
  <si>
    <t>VHO = VBST= 7.6 V</t>
  </si>
  <si>
    <t>VVIN = VSW = 9. V , VBST - VSW = 5 V</t>
  </si>
  <si>
    <t>BST to SW, IBST= –70 μA, VVIN = VSW = 9 V</t>
  </si>
  <si>
    <t>BST to SW, IBST = –70 μA, VVIN = VSW = 12 V</t>
  </si>
  <si>
    <t>VBST – VSW = 12 V, VSW = 0 V</t>
  </si>
  <si>
    <t>LO GATE DRIVER</t>
  </si>
  <si>
    <t>LO high-state voltage drop</t>
  </si>
  <si>
    <t>LO low-state voltage drop</t>
  </si>
  <si>
    <t>LO rise time (10% to 90%)</t>
  </si>
  <si>
    <t>LO fall time (90% to 10%)</t>
  </si>
  <si>
    <t>Peak LO source current</t>
  </si>
  <si>
    <t>Peak LO sink current</t>
  </si>
  <si>
    <t>ILO = –100 mA, VOHL = VVCC –VLO</t>
  </si>
  <si>
    <t>ILO = 100 mA, VOLL = VLO</t>
  </si>
  <si>
    <t>CLOAD = 4700 pF</t>
  </si>
  <si>
    <t>VLO = 0 V, VVCC = 4.5 V</t>
  </si>
  <si>
    <t>VLO = 0 V</t>
  </si>
  <si>
    <t>VLO = VVCC = 4.5 V</t>
  </si>
  <si>
    <t>VLO = VVCC</t>
  </si>
  <si>
    <t>SWITCHING CHARACTERISTICS</t>
  </si>
  <si>
    <t>LO fall to HO rise delay</t>
  </si>
  <si>
    <t>HO fall to LO rise delay</t>
  </si>
  <si>
    <t>No load, 50% to 50%</t>
  </si>
  <si>
    <t>About</t>
  </si>
  <si>
    <t>= Input Box</t>
  </si>
  <si>
    <t>TERMS OF USE</t>
  </si>
  <si>
    <t xml:space="preserve"> LM5122 Boost Controller Design Tool</t>
  </si>
  <si>
    <r>
      <t>Maximum Input Supply Voltage (V</t>
    </r>
    <r>
      <rPr>
        <vertAlign val="subscript"/>
        <sz val="11"/>
        <color theme="1"/>
        <rFont val="Calibri"/>
        <family val="2"/>
        <scheme val="minor"/>
      </rPr>
      <t>IN_MAX</t>
    </r>
    <r>
      <rPr>
        <sz val="11"/>
        <color theme="1"/>
        <rFont val="Calibri"/>
        <family val="2"/>
        <scheme val="minor"/>
      </rPr>
      <t>)</t>
    </r>
  </si>
  <si>
    <r>
      <t>Typical Input Supply Voltage (V</t>
    </r>
    <r>
      <rPr>
        <vertAlign val="subscript"/>
        <sz val="11"/>
        <color theme="1"/>
        <rFont val="Calibri"/>
        <family val="2"/>
        <scheme val="minor"/>
      </rPr>
      <t>IN_TYP</t>
    </r>
    <r>
      <rPr>
        <sz val="11"/>
        <color theme="1"/>
        <rFont val="Calibri"/>
        <family val="2"/>
        <scheme val="minor"/>
      </rPr>
      <t>)</t>
    </r>
  </si>
  <si>
    <r>
      <t>Minimum Input Supply Voltage (V</t>
    </r>
    <r>
      <rPr>
        <vertAlign val="subscript"/>
        <sz val="11"/>
        <color theme="1"/>
        <rFont val="Calibri"/>
        <family val="2"/>
        <scheme val="minor"/>
      </rPr>
      <t>IN_MIN</t>
    </r>
    <r>
      <rPr>
        <sz val="11"/>
        <color theme="1"/>
        <rFont val="Calibri"/>
        <family val="2"/>
        <scheme val="minor"/>
      </rPr>
      <t>)</t>
    </r>
  </si>
  <si>
    <r>
      <t>Target Output Voltage (V</t>
    </r>
    <r>
      <rPr>
        <vertAlign val="subscript"/>
        <sz val="11"/>
        <color theme="1"/>
        <rFont val="Calibri"/>
        <family val="2"/>
        <scheme val="minor"/>
      </rPr>
      <t>OUT</t>
    </r>
    <r>
      <rPr>
        <sz val="11"/>
        <color theme="1"/>
        <rFont val="Calibri"/>
        <family val="2"/>
        <scheme val="minor"/>
      </rPr>
      <t>)</t>
    </r>
  </si>
  <si>
    <r>
      <t>Number of Phase (n</t>
    </r>
    <r>
      <rPr>
        <vertAlign val="subscript"/>
        <sz val="11"/>
        <color theme="1"/>
        <rFont val="Calibri"/>
        <family val="2"/>
        <scheme val="minor"/>
      </rPr>
      <t>P</t>
    </r>
    <r>
      <rPr>
        <sz val="11"/>
        <color theme="1"/>
        <rFont val="Calibri"/>
        <family val="2"/>
        <scheme val="minor"/>
      </rPr>
      <t>)</t>
    </r>
  </si>
  <si>
    <t>Switching Freqeuncy</t>
  </si>
  <si>
    <t>kHz</t>
  </si>
  <si>
    <r>
      <t>Maximum Total Load Current (I</t>
    </r>
    <r>
      <rPr>
        <vertAlign val="subscript"/>
        <sz val="11"/>
        <color theme="1"/>
        <rFont val="Calibri"/>
        <family val="2"/>
        <scheme val="minor"/>
      </rPr>
      <t>OUT</t>
    </r>
    <r>
      <rPr>
        <sz val="11"/>
        <color theme="1"/>
        <rFont val="Calibri"/>
        <family val="2"/>
        <scheme val="minor"/>
      </rPr>
      <t>)</t>
    </r>
  </si>
  <si>
    <r>
      <t>Maximum Load Current per Phase (I</t>
    </r>
    <r>
      <rPr>
        <vertAlign val="subscript"/>
        <sz val="11"/>
        <color theme="1"/>
        <rFont val="Calibri"/>
        <family val="2"/>
        <scheme val="minor"/>
      </rPr>
      <t>OUT</t>
    </r>
    <r>
      <rPr>
        <sz val="11"/>
        <color theme="1"/>
        <rFont val="Calibri"/>
        <family val="2"/>
        <scheme val="minor"/>
      </rPr>
      <t>/n</t>
    </r>
    <r>
      <rPr>
        <vertAlign val="subscript"/>
        <sz val="11"/>
        <color theme="1"/>
        <rFont val="Calibri"/>
        <family val="2"/>
        <scheme val="minor"/>
      </rPr>
      <t>P</t>
    </r>
    <r>
      <rPr>
        <sz val="11"/>
        <color theme="1"/>
        <rFont val="Calibri"/>
        <family val="2"/>
        <scheme val="minor"/>
      </rPr>
      <t>)</t>
    </r>
  </si>
  <si>
    <t>%</t>
  </si>
  <si>
    <r>
      <t>Calculate RT resistor (R</t>
    </r>
    <r>
      <rPr>
        <vertAlign val="subscript"/>
        <sz val="11"/>
        <color theme="1"/>
        <rFont val="Calibri"/>
        <family val="2"/>
        <scheme val="minor"/>
      </rPr>
      <t>RT</t>
    </r>
    <r>
      <rPr>
        <sz val="11"/>
        <color theme="1"/>
        <rFont val="Calibri"/>
        <family val="2"/>
        <scheme val="minor"/>
      </rPr>
      <t>)</t>
    </r>
  </si>
  <si>
    <r>
      <t>k</t>
    </r>
    <r>
      <rPr>
        <sz val="11"/>
        <color theme="1"/>
        <rFont val="Calibri"/>
        <family val="2"/>
      </rPr>
      <t>Ω</t>
    </r>
  </si>
  <si>
    <t>Maximum SYNCIN Freqeuncy</t>
  </si>
  <si>
    <t>Minimum SYNCIN Freqeuncy</t>
  </si>
  <si>
    <t>Switching Parameters</t>
  </si>
  <si>
    <t>Flags</t>
  </si>
  <si>
    <t>Maximum on Time</t>
  </si>
  <si>
    <t>Minimum Off time</t>
  </si>
  <si>
    <t>Maximum Duty Cycle (VIN_MIN)</t>
  </si>
  <si>
    <t>Minimum Duty Cycle</t>
  </si>
  <si>
    <t>Minimum on Time</t>
  </si>
  <si>
    <t>Maximum off time</t>
  </si>
  <si>
    <t>Switching Freqeuncy Range</t>
  </si>
  <si>
    <t>Not in datasheet but practical litmits</t>
  </si>
  <si>
    <t>VIN Minimum operation voltage</t>
  </si>
  <si>
    <t>VIN Minimum start-up voltage</t>
  </si>
  <si>
    <t>ABSOLUTE MAXIMUM Ratings</t>
  </si>
  <si>
    <t>VIN, CSP,CSN</t>
  </si>
  <si>
    <t>BST to SW, FB, MODE, UVLO, OPT, VCC</t>
  </si>
  <si>
    <t>SW</t>
  </si>
  <si>
    <t>BST</t>
  </si>
  <si>
    <t>SS, SLOPE, SYNCIN/RT</t>
  </si>
  <si>
    <t>CSP to CSN, PGND</t>
  </si>
  <si>
    <t>Input Pins</t>
  </si>
  <si>
    <t>HO to SW</t>
  </si>
  <si>
    <t xml:space="preserve">LO </t>
  </si>
  <si>
    <t>COMP, RES, SYNCOUT</t>
  </si>
  <si>
    <t>Output Voltage</t>
  </si>
  <si>
    <t>VCC rail Voltage (Typical)</t>
  </si>
  <si>
    <t>VCC rail Voltage (at VIN Min)</t>
  </si>
  <si>
    <t>Selected Switching Freqeuncy</t>
  </si>
  <si>
    <t>Variable Name</t>
  </si>
  <si>
    <t>Desciption</t>
  </si>
  <si>
    <t>VOUT</t>
  </si>
  <si>
    <t>IOUT</t>
  </si>
  <si>
    <t>np</t>
  </si>
  <si>
    <t>IOUT_np</t>
  </si>
  <si>
    <t>fsw</t>
  </si>
  <si>
    <t>Operational Parameters</t>
  </si>
  <si>
    <t>eta</t>
  </si>
  <si>
    <t>VIN_MIN</t>
  </si>
  <si>
    <t>VIN_MAX</t>
  </si>
  <si>
    <t>VCC</t>
  </si>
  <si>
    <t>Freqeuncy Calculations</t>
  </si>
  <si>
    <t>VCC_min</t>
  </si>
  <si>
    <t>RT resistor value based on the datasheet equation</t>
  </si>
  <si>
    <t>R_RT</t>
  </si>
  <si>
    <t>Unit</t>
  </si>
  <si>
    <t>This is the maximum switching frequnecy based SYNCIN freqeuncy range</t>
  </si>
  <si>
    <t>fsw_max</t>
  </si>
  <si>
    <t>max switching freqeuncy based on output voltage and maximum t_off</t>
  </si>
  <si>
    <t>Inductor Selection</t>
  </si>
  <si>
    <t>RR</t>
  </si>
  <si>
    <t>Ripple ratio of inductor current</t>
  </si>
  <si>
    <t>VIN_TYP</t>
  </si>
  <si>
    <t>VIN_TYP used for calculation</t>
  </si>
  <si>
    <t>L_Calc</t>
  </si>
  <si>
    <t>H</t>
  </si>
  <si>
    <t>Lm</t>
  </si>
  <si>
    <t>Selected inductor value (per phase)</t>
  </si>
  <si>
    <t>uH</t>
  </si>
  <si>
    <t>on time at full load and VIN_MAX</t>
  </si>
  <si>
    <t>off time at full load and VIN_MAX</t>
  </si>
  <si>
    <t>off time at full load and VIN_MIN</t>
  </si>
  <si>
    <t>on time at full load and VIN_MIN</t>
  </si>
  <si>
    <t>R_Lm</t>
  </si>
  <si>
    <t>Inductor DCR (used for efficency calcualtions</t>
  </si>
  <si>
    <t>IL_PEAK_VIN_MIN</t>
  </si>
  <si>
    <t>IL_PEAK_VIN_MAX</t>
  </si>
  <si>
    <t>Steps</t>
  </si>
  <si>
    <t>Step Size</t>
  </si>
  <si>
    <t>Index</t>
  </si>
  <si>
    <r>
      <t>Estimated Efficiency (</t>
    </r>
    <r>
      <rPr>
        <sz val="11"/>
        <color theme="1"/>
        <rFont val="Calibri"/>
        <family val="2"/>
      </rPr>
      <t>η</t>
    </r>
    <r>
      <rPr>
        <sz val="11"/>
        <color theme="1"/>
        <rFont val="Calibri"/>
        <family val="2"/>
        <scheme val="minor"/>
      </rPr>
      <t>) Constant Guess is 94%</t>
    </r>
  </si>
  <si>
    <t>Duty Cycle</t>
  </si>
  <si>
    <t>IOUT(A)</t>
  </si>
  <si>
    <t>VOUT(V)</t>
  </si>
  <si>
    <t>*These are per phase calculations</t>
  </si>
  <si>
    <t>DCM / CCM</t>
  </si>
  <si>
    <t>IIN (A)</t>
  </si>
  <si>
    <t>VIN (A)</t>
  </si>
  <si>
    <t>Ripple Current (A)</t>
  </si>
  <si>
    <t>Peak Current (A)</t>
  </si>
  <si>
    <t>IL_AVG_VIN_MIN</t>
  </si>
  <si>
    <t>IL_AVG_VIN_TYP</t>
  </si>
  <si>
    <t>IL_AVG_VIN_MAX</t>
  </si>
  <si>
    <t>IL_PEAK_VIN_TYP</t>
  </si>
  <si>
    <t>IL_Ripple_VIN_MIN</t>
  </si>
  <si>
    <t>IL_Ripple_VIN_TYP</t>
  </si>
  <si>
    <t>IL_Ripple_VIN_MAX</t>
  </si>
  <si>
    <t>Duty Cycle at VIN_MIN</t>
  </si>
  <si>
    <t>Duty Cycle at VIN_TYP</t>
  </si>
  <si>
    <t>Duty Cycle at VIN_MAX</t>
  </si>
  <si>
    <t>@ IOUT MAX</t>
  </si>
  <si>
    <r>
      <t>Peak Inductor Current at V</t>
    </r>
    <r>
      <rPr>
        <vertAlign val="subscript"/>
        <sz val="11"/>
        <color theme="1"/>
        <rFont val="Calibri"/>
        <family val="2"/>
        <scheme val="minor"/>
      </rPr>
      <t>IN_MIN</t>
    </r>
    <r>
      <rPr>
        <sz val="11"/>
        <color theme="1"/>
        <rFont val="Calibri"/>
        <family val="2"/>
        <scheme val="minor"/>
      </rPr>
      <t xml:space="preserve"> (IL</t>
    </r>
    <r>
      <rPr>
        <vertAlign val="subscript"/>
        <sz val="11"/>
        <color theme="1"/>
        <rFont val="Calibri"/>
        <family val="2"/>
        <scheme val="minor"/>
      </rPr>
      <t>PEAK_VIN_MIN</t>
    </r>
    <r>
      <rPr>
        <sz val="11"/>
        <color theme="1"/>
        <rFont val="Calibri"/>
        <family val="2"/>
        <scheme val="minor"/>
      </rPr>
      <t>)</t>
    </r>
  </si>
  <si>
    <r>
      <t>Peak Inductor Current at V</t>
    </r>
    <r>
      <rPr>
        <vertAlign val="subscript"/>
        <sz val="11"/>
        <color theme="1"/>
        <rFont val="Calibri"/>
        <family val="2"/>
        <scheme val="minor"/>
      </rPr>
      <t>IN_MAX</t>
    </r>
    <r>
      <rPr>
        <sz val="11"/>
        <color theme="1"/>
        <rFont val="Calibri"/>
        <family val="2"/>
        <scheme val="minor"/>
      </rPr>
      <t xml:space="preserve"> (IL</t>
    </r>
    <r>
      <rPr>
        <vertAlign val="subscript"/>
        <sz val="11"/>
        <color theme="1"/>
        <rFont val="Calibri"/>
        <family val="2"/>
        <scheme val="minor"/>
      </rPr>
      <t>PEAK_VIN_MAX</t>
    </r>
    <r>
      <rPr>
        <sz val="11"/>
        <color theme="1"/>
        <rFont val="Calibri"/>
        <family val="2"/>
        <scheme val="minor"/>
      </rPr>
      <t>)</t>
    </r>
  </si>
  <si>
    <r>
      <t>Peak Inductor Current at V</t>
    </r>
    <r>
      <rPr>
        <vertAlign val="subscript"/>
        <sz val="11"/>
        <color theme="1"/>
        <rFont val="Calibri"/>
        <family val="2"/>
        <scheme val="minor"/>
      </rPr>
      <t>IN_TYP</t>
    </r>
    <r>
      <rPr>
        <sz val="11"/>
        <color theme="1"/>
        <rFont val="Calibri"/>
        <family val="2"/>
        <scheme val="minor"/>
      </rPr>
      <t xml:space="preserve"> (IL</t>
    </r>
    <r>
      <rPr>
        <vertAlign val="subscript"/>
        <sz val="11"/>
        <color theme="1"/>
        <rFont val="Calibri"/>
        <family val="2"/>
        <scheme val="minor"/>
      </rPr>
      <t>PEAK_VIN_TYP</t>
    </r>
    <r>
      <rPr>
        <sz val="11"/>
        <color theme="1"/>
        <rFont val="Calibri"/>
        <family val="2"/>
        <scheme val="minor"/>
      </rPr>
      <t>)</t>
    </r>
  </si>
  <si>
    <r>
      <t>Average Inductor Current at V</t>
    </r>
    <r>
      <rPr>
        <vertAlign val="subscript"/>
        <sz val="11"/>
        <color theme="1"/>
        <rFont val="Calibri"/>
        <family val="2"/>
        <scheme val="minor"/>
      </rPr>
      <t>IN_MIN</t>
    </r>
    <r>
      <rPr>
        <sz val="11"/>
        <color theme="1"/>
        <rFont val="Calibri"/>
        <family val="2"/>
        <scheme val="minor"/>
      </rPr>
      <t xml:space="preserve"> (IL</t>
    </r>
    <r>
      <rPr>
        <vertAlign val="subscript"/>
        <sz val="11"/>
        <color theme="1"/>
        <rFont val="Calibri"/>
        <family val="2"/>
        <scheme val="minor"/>
      </rPr>
      <t>AVG_VIN_MIN</t>
    </r>
    <r>
      <rPr>
        <sz val="11"/>
        <color theme="1"/>
        <rFont val="Calibri"/>
        <family val="2"/>
        <scheme val="minor"/>
      </rPr>
      <t>)</t>
    </r>
  </si>
  <si>
    <r>
      <t>Average Inductor Current at V</t>
    </r>
    <r>
      <rPr>
        <vertAlign val="subscript"/>
        <sz val="11"/>
        <color theme="1"/>
        <rFont val="Calibri"/>
        <family val="2"/>
        <scheme val="minor"/>
      </rPr>
      <t>IN_TYP</t>
    </r>
    <r>
      <rPr>
        <sz val="11"/>
        <color theme="1"/>
        <rFont val="Calibri"/>
        <family val="2"/>
        <scheme val="minor"/>
      </rPr>
      <t xml:space="preserve"> (IL</t>
    </r>
    <r>
      <rPr>
        <vertAlign val="subscript"/>
        <sz val="11"/>
        <color theme="1"/>
        <rFont val="Calibri"/>
        <family val="2"/>
        <scheme val="minor"/>
      </rPr>
      <t>AVG_VIN_TYP</t>
    </r>
    <r>
      <rPr>
        <sz val="11"/>
        <color theme="1"/>
        <rFont val="Calibri"/>
        <family val="2"/>
        <scheme val="minor"/>
      </rPr>
      <t>)</t>
    </r>
  </si>
  <si>
    <r>
      <t>Average Inductor Current at V</t>
    </r>
    <r>
      <rPr>
        <vertAlign val="subscript"/>
        <sz val="11"/>
        <color theme="1"/>
        <rFont val="Calibri"/>
        <family val="2"/>
        <scheme val="minor"/>
      </rPr>
      <t>IN_MAX</t>
    </r>
    <r>
      <rPr>
        <sz val="11"/>
        <color theme="1"/>
        <rFont val="Calibri"/>
        <family val="2"/>
        <scheme val="minor"/>
      </rPr>
      <t xml:space="preserve"> (IL</t>
    </r>
    <r>
      <rPr>
        <vertAlign val="subscript"/>
        <sz val="11"/>
        <color theme="1"/>
        <rFont val="Calibri"/>
        <family val="2"/>
        <scheme val="minor"/>
      </rPr>
      <t>AVG_VIN_MAX</t>
    </r>
    <r>
      <rPr>
        <sz val="11"/>
        <color theme="1"/>
        <rFont val="Calibri"/>
        <family val="2"/>
        <scheme val="minor"/>
      </rPr>
      <t>)</t>
    </r>
  </si>
  <si>
    <r>
      <t xml:space="preserve">Inductor Selection </t>
    </r>
    <r>
      <rPr>
        <b/>
        <sz val="10"/>
        <color theme="1"/>
        <rFont val="Calibri"/>
        <family val="2"/>
        <scheme val="minor"/>
      </rPr>
      <t>(Per Phase Calculations)</t>
    </r>
  </si>
  <si>
    <t>Current Limit Calcualtions</t>
  </si>
  <si>
    <r>
      <t>Selected Inductor Value (L</t>
    </r>
    <r>
      <rPr>
        <vertAlign val="subscript"/>
        <sz val="11"/>
        <color theme="1"/>
        <rFont val="Calibri"/>
        <family val="2"/>
        <scheme val="minor"/>
      </rPr>
      <t>M</t>
    </r>
    <r>
      <rPr>
        <sz val="11"/>
        <color theme="1"/>
        <rFont val="Calibri"/>
        <family val="2"/>
        <scheme val="minor"/>
      </rPr>
      <t>)</t>
    </r>
  </si>
  <si>
    <r>
      <t>Calculated Inductor Value (L</t>
    </r>
    <r>
      <rPr>
        <vertAlign val="subscript"/>
        <sz val="11"/>
        <color theme="1"/>
        <rFont val="Calibri"/>
        <family val="2"/>
        <scheme val="minor"/>
      </rPr>
      <t>CALC</t>
    </r>
    <r>
      <rPr>
        <sz val="11"/>
        <color theme="1"/>
        <rFont val="Calibri"/>
        <family val="2"/>
        <scheme val="minor"/>
      </rPr>
      <t>)</t>
    </r>
  </si>
  <si>
    <t>Selected Ripple Ratio (RR)</t>
  </si>
  <si>
    <r>
      <t>Selected margin for current limit (M</t>
    </r>
    <r>
      <rPr>
        <vertAlign val="subscript"/>
        <sz val="11"/>
        <color theme="1"/>
        <rFont val="Calibri"/>
        <family val="2"/>
        <scheme val="minor"/>
      </rPr>
      <t>LIMIT</t>
    </r>
    <r>
      <rPr>
        <sz val="11"/>
        <color theme="1"/>
        <rFont val="Calibri"/>
        <family val="2"/>
        <scheme val="minor"/>
      </rPr>
      <t>)</t>
    </r>
  </si>
  <si>
    <t>Current Limit Calculations</t>
  </si>
  <si>
    <t>Margin above the maximum peak limit</t>
  </si>
  <si>
    <t>IPEAK_LIMIT</t>
  </si>
  <si>
    <t>M_LIMIT</t>
  </si>
  <si>
    <t>Target Peak Limit Value</t>
  </si>
  <si>
    <t>Rcs_calc</t>
  </si>
  <si>
    <t>Calculated Current Sense Resistor (Typical Peak Current Limit)</t>
  </si>
  <si>
    <t>Rcs</t>
  </si>
  <si>
    <t>Selected Current Sense Resistor</t>
  </si>
  <si>
    <r>
      <t>Target Peak Current Limit (IL</t>
    </r>
    <r>
      <rPr>
        <vertAlign val="subscript"/>
        <sz val="11"/>
        <color theme="1"/>
        <rFont val="Calibri"/>
        <family val="2"/>
        <scheme val="minor"/>
      </rPr>
      <t>PEAK_LIMIT_TARGET</t>
    </r>
    <r>
      <rPr>
        <sz val="11"/>
        <color theme="1"/>
        <rFont val="Calibri"/>
        <family val="2"/>
        <scheme val="minor"/>
      </rPr>
      <t>)</t>
    </r>
  </si>
  <si>
    <r>
      <t>Calculated Current Sense Resistor (R</t>
    </r>
    <r>
      <rPr>
        <vertAlign val="subscript"/>
        <sz val="11"/>
        <color theme="1"/>
        <rFont val="Calibri"/>
        <family val="2"/>
        <scheme val="minor"/>
      </rPr>
      <t>CS_CALC</t>
    </r>
    <r>
      <rPr>
        <sz val="11"/>
        <color theme="1"/>
        <rFont val="Calibri"/>
        <family val="2"/>
        <scheme val="minor"/>
      </rPr>
      <t>)</t>
    </r>
  </si>
  <si>
    <r>
      <t>m</t>
    </r>
    <r>
      <rPr>
        <sz val="11"/>
        <color theme="1"/>
        <rFont val="Calibri"/>
        <family val="2"/>
      </rPr>
      <t>Ω</t>
    </r>
  </si>
  <si>
    <r>
      <t>Selected Current Sense Resistor (R</t>
    </r>
    <r>
      <rPr>
        <vertAlign val="subscript"/>
        <sz val="11"/>
        <color theme="1"/>
        <rFont val="Calibri"/>
        <family val="2"/>
        <scheme val="minor"/>
      </rPr>
      <t>CS</t>
    </r>
    <r>
      <rPr>
        <sz val="11"/>
        <color theme="1"/>
        <rFont val="Calibri"/>
        <family val="2"/>
        <scheme val="minor"/>
      </rPr>
      <t>)</t>
    </r>
  </si>
  <si>
    <t>mΩ</t>
  </si>
  <si>
    <t>Peak Current Limit @ VIN_MIN</t>
  </si>
  <si>
    <t>Peak Current Limit @ VIN_TYP</t>
  </si>
  <si>
    <t>Peak Current Limit @ VIN_MAX</t>
  </si>
  <si>
    <r>
      <t>Limited Peak Inductor Current (IL</t>
    </r>
    <r>
      <rPr>
        <vertAlign val="subscript"/>
        <sz val="11"/>
        <color theme="1"/>
        <rFont val="Calibri"/>
        <family val="2"/>
        <scheme val="minor"/>
      </rPr>
      <t>PEAK_LIMIT</t>
    </r>
    <r>
      <rPr>
        <sz val="11"/>
        <color theme="1"/>
        <rFont val="Calibri"/>
        <family val="2"/>
        <scheme val="minor"/>
      </rPr>
      <t>)</t>
    </r>
  </si>
  <si>
    <t>Maximum IOUT when peak current limit occurs @ VIN_MIN</t>
  </si>
  <si>
    <t>Maximum IOUT when peak current limit occurs @ VIN_MAX</t>
  </si>
  <si>
    <t>Maximum IOUT when peak current limit occurs @ VIN_TYP</t>
  </si>
  <si>
    <t>IL_OUT_VIN_MIN</t>
  </si>
  <si>
    <t>IL_OUT_VIN_TYP</t>
  </si>
  <si>
    <t>IL_OUT_VIN_MAX</t>
  </si>
  <si>
    <r>
      <t>Total maximum ouput current at peak current limit (I</t>
    </r>
    <r>
      <rPr>
        <vertAlign val="subscript"/>
        <sz val="11"/>
        <color theme="1"/>
        <rFont val="Calibri"/>
        <family val="2"/>
        <scheme val="minor"/>
      </rPr>
      <t>OUT_LIMIT_VIN_TYP</t>
    </r>
    <r>
      <rPr>
        <sz val="11"/>
        <color theme="1"/>
        <rFont val="Calibri"/>
        <family val="2"/>
        <scheme val="minor"/>
      </rPr>
      <t>)</t>
    </r>
  </si>
  <si>
    <r>
      <t>Total maximum ouput current at peak current limit (I</t>
    </r>
    <r>
      <rPr>
        <vertAlign val="subscript"/>
        <sz val="11"/>
        <color theme="1"/>
        <rFont val="Calibri"/>
        <family val="2"/>
        <scheme val="minor"/>
      </rPr>
      <t>OUT_LIMIT_VIN_MIN</t>
    </r>
    <r>
      <rPr>
        <sz val="11"/>
        <color theme="1"/>
        <rFont val="Calibri"/>
        <family val="2"/>
        <scheme val="minor"/>
      </rPr>
      <t>)</t>
    </r>
  </si>
  <si>
    <r>
      <t>Total maximum ouput current at peak current limit (I</t>
    </r>
    <r>
      <rPr>
        <vertAlign val="subscript"/>
        <sz val="11"/>
        <color theme="1"/>
        <rFont val="Calibri"/>
        <family val="2"/>
        <scheme val="minor"/>
      </rPr>
      <t>OUT_LIMIT_VIN_MAX</t>
    </r>
    <r>
      <rPr>
        <sz val="11"/>
        <color theme="1"/>
        <rFont val="Calibri"/>
        <family val="2"/>
        <scheme val="minor"/>
      </rPr>
      <t>)</t>
    </r>
  </si>
  <si>
    <t>Slope Compensation</t>
  </si>
  <si>
    <t>Slope Compensation k factor</t>
  </si>
  <si>
    <t>Slope Compenstation</t>
  </si>
  <si>
    <r>
      <t>Selected K Factor (K</t>
    </r>
    <r>
      <rPr>
        <vertAlign val="subscript"/>
        <sz val="11"/>
        <color theme="1"/>
        <rFont val="Calibri"/>
        <family val="2"/>
        <scheme val="minor"/>
      </rPr>
      <t>SLOPE</t>
    </r>
    <r>
      <rPr>
        <sz val="11"/>
        <color theme="1"/>
        <rFont val="Calibri"/>
        <family val="2"/>
        <scheme val="minor"/>
      </rPr>
      <t>)</t>
    </r>
  </si>
  <si>
    <t>K_slope_selected</t>
  </si>
  <si>
    <t>R_slope_calc</t>
  </si>
  <si>
    <t>Calcualted R slope value for the chossen k Factor</t>
  </si>
  <si>
    <t>R_slope_min</t>
  </si>
  <si>
    <t>Minimum value of the slope resistor</t>
  </si>
  <si>
    <t>kΩ</t>
  </si>
  <si>
    <t>R_slope</t>
  </si>
  <si>
    <t>Selected R Slope Value</t>
  </si>
  <si>
    <t>K_slope @ VIN_MIN</t>
  </si>
  <si>
    <t>K_slope @ VIN_TYP</t>
  </si>
  <si>
    <t>K_slope @ VIN_MAX</t>
  </si>
  <si>
    <t>Acs</t>
  </si>
  <si>
    <t>Current Sense Amplifier Gain</t>
  </si>
  <si>
    <t>VCL_Typ</t>
  </si>
  <si>
    <t>Typical Current Limit Value</t>
  </si>
  <si>
    <t>K slope at VIN_MIN</t>
  </si>
  <si>
    <t>K slope at VIN_MAX</t>
  </si>
  <si>
    <t>K slope at VIN_TYP</t>
  </si>
  <si>
    <t>Sub_Har_VIN_MIN</t>
  </si>
  <si>
    <t>Sub_Har_VIN_TYP</t>
  </si>
  <si>
    <t>Sub_Har_VIN_MAX</t>
  </si>
  <si>
    <t>Check for Subharmonic Osillation</t>
  </si>
  <si>
    <t>OUTPUT Capacitance Selection</t>
  </si>
  <si>
    <t>Specifications</t>
  </si>
  <si>
    <t>Timing Resistor</t>
  </si>
  <si>
    <t>Vout_ripple</t>
  </si>
  <si>
    <t>Desired output ripple</t>
  </si>
  <si>
    <t>mV</t>
  </si>
  <si>
    <t>Output ripple due to capacitive ripple</t>
  </si>
  <si>
    <t>F</t>
  </si>
  <si>
    <t>uF</t>
  </si>
  <si>
    <t>Cout</t>
  </si>
  <si>
    <t>Resr</t>
  </si>
  <si>
    <t>Selected total amount of output capacitance</t>
  </si>
  <si>
    <t>Total series resistance of the output capacitance</t>
  </si>
  <si>
    <r>
      <t>Total sereies resistance of output capacitance (R</t>
    </r>
    <r>
      <rPr>
        <vertAlign val="subscript"/>
        <sz val="11"/>
        <color theme="1"/>
        <rFont val="Calibri"/>
        <family val="2"/>
        <scheme val="minor"/>
      </rPr>
      <t>ESR</t>
    </r>
    <r>
      <rPr>
        <sz val="11"/>
        <color theme="1"/>
        <rFont val="Calibri"/>
        <family val="2"/>
        <scheme val="minor"/>
      </rPr>
      <t>)</t>
    </r>
  </si>
  <si>
    <r>
      <t>Selected output capacitance (C</t>
    </r>
    <r>
      <rPr>
        <vertAlign val="subscript"/>
        <sz val="11"/>
        <color theme="1"/>
        <rFont val="Calibri"/>
        <family val="2"/>
        <scheme val="minor"/>
      </rPr>
      <t>OUT</t>
    </r>
    <r>
      <rPr>
        <sz val="11"/>
        <color theme="1"/>
        <rFont val="Calibri"/>
        <family val="2"/>
        <scheme val="minor"/>
      </rPr>
      <t>)</t>
    </r>
  </si>
  <si>
    <t>w_RHP</t>
  </si>
  <si>
    <t>RAD/s</t>
  </si>
  <si>
    <t>w_Z_ESR</t>
  </si>
  <si>
    <t xml:space="preserve">Zero due to output capacitance and ESR </t>
  </si>
  <si>
    <t>w_p_low</t>
  </si>
  <si>
    <t>ADC</t>
  </si>
  <si>
    <t>DC gain of the Plant function</t>
  </si>
  <si>
    <t>Qfact</t>
  </si>
  <si>
    <t>Quatility Factor due to slope compensation</t>
  </si>
  <si>
    <t>Control Loop Calculations (@ VIN_MIN)</t>
  </si>
  <si>
    <t>Compensation Calcualtions</t>
  </si>
  <si>
    <r>
      <t>Selected Top Feedback Resistor (R</t>
    </r>
    <r>
      <rPr>
        <vertAlign val="subscript"/>
        <sz val="11"/>
        <color theme="1"/>
        <rFont val="Calibri"/>
        <family val="2"/>
        <scheme val="minor"/>
      </rPr>
      <t>FB2</t>
    </r>
    <r>
      <rPr>
        <sz val="11"/>
        <color theme="1"/>
        <rFont val="Calibri"/>
        <family val="2"/>
        <scheme val="minor"/>
      </rPr>
      <t>)</t>
    </r>
  </si>
  <si>
    <r>
      <t>Calculated Bottom Feedback Resistor (R</t>
    </r>
    <r>
      <rPr>
        <vertAlign val="subscript"/>
        <sz val="11"/>
        <color theme="1"/>
        <rFont val="Calibri"/>
        <family val="2"/>
        <scheme val="minor"/>
      </rPr>
      <t>FB1</t>
    </r>
    <r>
      <rPr>
        <sz val="11"/>
        <color theme="1"/>
        <rFont val="Calibri"/>
        <family val="2"/>
        <scheme val="minor"/>
      </rPr>
      <t>)</t>
    </r>
  </si>
  <si>
    <r>
      <t>Selected Bottom Feedback Resistor (R</t>
    </r>
    <r>
      <rPr>
        <vertAlign val="subscript"/>
        <sz val="11"/>
        <color theme="1"/>
        <rFont val="Calibri"/>
        <family val="2"/>
        <scheme val="minor"/>
      </rPr>
      <t>FB1</t>
    </r>
    <r>
      <rPr>
        <sz val="11"/>
        <color theme="1"/>
        <rFont val="Calibri"/>
        <family val="2"/>
        <scheme val="minor"/>
      </rPr>
      <t>)</t>
    </r>
  </si>
  <si>
    <t>Feedback Resistor Calcualtion</t>
  </si>
  <si>
    <t>RFB_Top</t>
  </si>
  <si>
    <t>RFB_Bottom_Calc</t>
  </si>
  <si>
    <t>Calculated Bottom Feedback Resistor</t>
  </si>
  <si>
    <t>RFB_Bottom</t>
  </si>
  <si>
    <t>Selected Bottom Feedback Resistor</t>
  </si>
  <si>
    <t>Selected Top Feedback resistor</t>
  </si>
  <si>
    <t>VOUT_actual</t>
  </si>
  <si>
    <t>I_FB</t>
  </si>
  <si>
    <t>The set output voltage based on the selected resistors</t>
  </si>
  <si>
    <t>The amount of current that will be drawing during switching</t>
  </si>
  <si>
    <t>Compensation calculations</t>
  </si>
  <si>
    <t>F_cross (1/10 of Fsw? Or 1/4 RHP fz)</t>
  </si>
  <si>
    <t xml:space="preserve">Rcomp </t>
  </si>
  <si>
    <t>ohm</t>
  </si>
  <si>
    <t>Ccomp</t>
  </si>
  <si>
    <t>CHF</t>
  </si>
  <si>
    <t>Rcomp</t>
  </si>
  <si>
    <t>nF</t>
  </si>
  <si>
    <t>pF</t>
  </si>
  <si>
    <t>Soft-start capacitor selection</t>
  </si>
  <si>
    <t>UVLO resistor selection</t>
  </si>
  <si>
    <t>Desired minimum soft-start time @VIN(MAX), TSS [ms]</t>
  </si>
  <si>
    <r>
      <t>Soft-start capacitor, C</t>
    </r>
    <r>
      <rPr>
        <vertAlign val="subscript"/>
        <sz val="11"/>
        <rFont val="Calibri"/>
        <family val="2"/>
        <scheme val="minor"/>
      </rPr>
      <t>SS</t>
    </r>
    <r>
      <rPr>
        <sz val="11"/>
        <rFont val="Calibri"/>
        <family val="2"/>
        <scheme val="minor"/>
      </rPr>
      <t xml:space="preserve"> [nF]</t>
    </r>
  </si>
  <si>
    <r>
      <t>Maximum soft-start time @V</t>
    </r>
    <r>
      <rPr>
        <vertAlign val="subscript"/>
        <sz val="11"/>
        <rFont val="Calibri"/>
        <family val="2"/>
        <scheme val="minor"/>
      </rPr>
      <t>IN(MIN)</t>
    </r>
    <r>
      <rPr>
        <sz val="11"/>
        <rFont val="Calibri"/>
        <family val="2"/>
        <scheme val="minor"/>
      </rPr>
      <t>, T</t>
    </r>
    <r>
      <rPr>
        <vertAlign val="subscript"/>
        <sz val="11"/>
        <rFont val="Calibri"/>
        <family val="2"/>
        <scheme val="minor"/>
      </rPr>
      <t>SS</t>
    </r>
    <r>
      <rPr>
        <sz val="11"/>
        <rFont val="Calibri"/>
        <family val="2"/>
        <scheme val="minor"/>
      </rPr>
      <t xml:space="preserve"> [ms]</t>
    </r>
  </si>
  <si>
    <t xml:space="preserve">ISS = </t>
  </si>
  <si>
    <r>
      <t>Desired start-up voltage, V</t>
    </r>
    <r>
      <rPr>
        <vertAlign val="subscript"/>
        <sz val="11"/>
        <rFont val="Calibri"/>
        <family val="2"/>
        <scheme val="minor"/>
      </rPr>
      <t>IN(STARTUP)</t>
    </r>
    <r>
      <rPr>
        <sz val="11"/>
        <color theme="1"/>
        <rFont val="Calibri"/>
        <family val="2"/>
        <scheme val="minor"/>
      </rPr>
      <t xml:space="preserve"> [V]</t>
    </r>
  </si>
  <si>
    <r>
      <t>UVLO shutdown voltage, V</t>
    </r>
    <r>
      <rPr>
        <vertAlign val="subscript"/>
        <sz val="11"/>
        <color theme="1"/>
        <rFont val="Calibri"/>
        <family val="2"/>
        <scheme val="minor"/>
      </rPr>
      <t>IN(SHUTDOWN)</t>
    </r>
    <r>
      <rPr>
        <sz val="11"/>
        <color theme="1"/>
        <rFont val="Calibri"/>
        <family val="2"/>
        <scheme val="minor"/>
      </rPr>
      <t xml:space="preserve"> [V]</t>
    </r>
  </si>
  <si>
    <t>IHYS =</t>
  </si>
  <si>
    <t xml:space="preserve">Uvth = </t>
  </si>
  <si>
    <t>IHYSmin =</t>
  </si>
  <si>
    <t>Uvthmin =</t>
  </si>
  <si>
    <r>
      <t>UV hysteresis, V</t>
    </r>
    <r>
      <rPr>
        <vertAlign val="subscript"/>
        <sz val="11"/>
        <rFont val="Calibri"/>
        <family val="2"/>
        <scheme val="minor"/>
      </rPr>
      <t>HYS</t>
    </r>
    <r>
      <rPr>
        <sz val="11"/>
        <color theme="1"/>
        <rFont val="Calibri"/>
        <family val="2"/>
        <scheme val="minor"/>
      </rPr>
      <t xml:space="preserve"> [V]</t>
    </r>
  </si>
  <si>
    <r>
      <t>Desired start-up voltage, V</t>
    </r>
    <r>
      <rPr>
        <vertAlign val="subscript"/>
        <sz val="11"/>
        <color theme="1"/>
        <rFont val="Calibri"/>
        <family val="2"/>
        <scheme val="minor"/>
      </rPr>
      <t>IN(turnoff)</t>
    </r>
    <r>
      <rPr>
        <sz val="11"/>
        <color theme="1"/>
        <rFont val="Calibri"/>
        <family val="2"/>
        <scheme val="minor"/>
      </rPr>
      <t xml:space="preserve"> [V]</t>
    </r>
  </si>
  <si>
    <r>
      <t>Selected R</t>
    </r>
    <r>
      <rPr>
        <vertAlign val="subscript"/>
        <sz val="11"/>
        <color theme="1"/>
        <rFont val="Calibri"/>
        <family val="2"/>
        <scheme val="minor"/>
      </rPr>
      <t>UV2</t>
    </r>
    <r>
      <rPr>
        <sz val="11"/>
        <color theme="1"/>
        <rFont val="Calibri"/>
        <family val="2"/>
        <scheme val="minor"/>
      </rPr>
      <t xml:space="preserve"> [kΩ]</t>
    </r>
  </si>
  <si>
    <t xml:space="preserve">UV_standby = </t>
  </si>
  <si>
    <t>UV_standby_HYS</t>
  </si>
  <si>
    <r>
      <t>(top) Calculated R</t>
    </r>
    <r>
      <rPr>
        <vertAlign val="subscript"/>
        <sz val="11"/>
        <rFont val="Calibri"/>
        <family val="2"/>
        <scheme val="minor"/>
      </rPr>
      <t>UV2</t>
    </r>
    <r>
      <rPr>
        <sz val="11"/>
        <color theme="1"/>
        <rFont val="Calibri"/>
        <family val="2"/>
        <scheme val="minor"/>
      </rPr>
      <t xml:space="preserve"> [kΩ]</t>
    </r>
  </si>
  <si>
    <r>
      <t>Calculated R</t>
    </r>
    <r>
      <rPr>
        <vertAlign val="subscript"/>
        <sz val="11"/>
        <rFont val="Calibri"/>
        <family val="2"/>
        <scheme val="minor"/>
      </rPr>
      <t>UV1</t>
    </r>
    <r>
      <rPr>
        <sz val="11"/>
        <color theme="1"/>
        <rFont val="Calibri"/>
        <family val="2"/>
        <scheme val="minor"/>
      </rPr>
      <t xml:space="preserve"> [kΩ]</t>
    </r>
  </si>
  <si>
    <t>ratio of Rcomp and RFB2 top determines mid-band gain AFB_MID, so large RFB2 means large Comp, RFB2 should be large enuff to keep power diss small.</t>
  </si>
  <si>
    <t>Low Freqeuncy pole to to ROUT and COUT (dominant load pole)</t>
  </si>
  <si>
    <t>Rload * D' = Vin_min/Iout</t>
  </si>
  <si>
    <t>Feedback DC gain</t>
  </si>
  <si>
    <t>Mid-band gain</t>
  </si>
  <si>
    <t>Low freq zero</t>
  </si>
  <si>
    <t>High Freq pole</t>
  </si>
  <si>
    <t xml:space="preserve"> (mA)</t>
  </si>
  <si>
    <t>RHP Freq</t>
  </si>
  <si>
    <t>ESR zero Freq</t>
  </si>
  <si>
    <t>Low Freq Pole</t>
  </si>
  <si>
    <t>calc. suggested one of the two values</t>
  </si>
  <si>
    <t>Desired Cross over freq</t>
  </si>
  <si>
    <t xml:space="preserve">Ccomp  </t>
  </si>
  <si>
    <t>Selected cross over frequency</t>
  </si>
  <si>
    <t>Suggested Cross over frequency</t>
  </si>
  <si>
    <t>Calculated</t>
  </si>
  <si>
    <t>Selected</t>
  </si>
  <si>
    <r>
      <t>R</t>
    </r>
    <r>
      <rPr>
        <vertAlign val="subscript"/>
        <sz val="11"/>
        <color theme="1"/>
        <rFont val="Calibri"/>
        <family val="2"/>
        <scheme val="minor"/>
      </rPr>
      <t>COMP</t>
    </r>
  </si>
  <si>
    <r>
      <t>C</t>
    </r>
    <r>
      <rPr>
        <vertAlign val="subscript"/>
        <sz val="11"/>
        <color theme="1"/>
        <rFont val="Calibri"/>
        <family val="2"/>
        <scheme val="minor"/>
      </rPr>
      <t>COMP</t>
    </r>
  </si>
  <si>
    <r>
      <t>C</t>
    </r>
    <r>
      <rPr>
        <vertAlign val="subscript"/>
        <sz val="11"/>
        <color theme="1"/>
        <rFont val="Calibri"/>
        <family val="2"/>
        <scheme val="minor"/>
      </rPr>
      <t>HF</t>
    </r>
  </si>
  <si>
    <t>Efficiency / Power Loss Analyzer</t>
  </si>
  <si>
    <t>Low-Side MOSFET Parameters (QLS)</t>
  </si>
  <si>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</si>
  <si>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t>Value</t>
  </si>
  <si>
    <t>STD Units</t>
  </si>
  <si>
    <t>Notes</t>
  </si>
  <si>
    <t>Input Parameters</t>
  </si>
  <si>
    <t>VIN_min</t>
  </si>
  <si>
    <t>Minimum input voltage</t>
  </si>
  <si>
    <t>VIN_nom</t>
  </si>
  <si>
    <t>Nominal input voltage</t>
  </si>
  <si>
    <t>VIN_max</t>
  </si>
  <si>
    <t>Maximum input voltage</t>
  </si>
  <si>
    <t>Fsw</t>
  </si>
  <si>
    <t xml:space="preserve">Switching frequnecy </t>
  </si>
  <si>
    <t>VIN_VAR</t>
  </si>
  <si>
    <t>Variable input voltage</t>
  </si>
  <si>
    <t>IOUT_VAR</t>
  </si>
  <si>
    <t>Variable output current (Can add this a different revision, not needed right now)</t>
  </si>
  <si>
    <t>Component Selection</t>
  </si>
  <si>
    <t>LM</t>
  </si>
  <si>
    <t>filter Inductor</t>
  </si>
  <si>
    <t>R_cs</t>
  </si>
  <si>
    <t>Ω</t>
  </si>
  <si>
    <t>R_sl</t>
  </si>
  <si>
    <t>Rsl_int</t>
  </si>
  <si>
    <t>Isl</t>
  </si>
  <si>
    <t>Vsl</t>
  </si>
  <si>
    <t>Gcomp</t>
  </si>
  <si>
    <t>Input from user =</t>
  </si>
  <si>
    <t>Output =</t>
  </si>
  <si>
    <t>Constant</t>
  </si>
  <si>
    <t>Maximum Output current (per phase)</t>
  </si>
  <si>
    <t>Kex</t>
  </si>
  <si>
    <t>Km</t>
  </si>
  <si>
    <t>Kd</t>
  </si>
  <si>
    <r>
      <t>Selected V</t>
    </r>
    <r>
      <rPr>
        <vertAlign val="subscript"/>
        <sz val="11"/>
        <color theme="1"/>
        <rFont val="Calibri"/>
        <family val="2"/>
        <scheme val="minor"/>
      </rPr>
      <t>in</t>
    </r>
  </si>
  <si>
    <t>DC gain of plant function with Vin_vari</t>
  </si>
  <si>
    <t>Slope compensation parameters. Will change pole and DC gain equation</t>
  </si>
  <si>
    <r>
      <t>External Slope Compensation Resistor</t>
    </r>
    <r>
      <rPr>
        <b/>
        <sz val="11"/>
        <color theme="1"/>
        <rFont val="Calibri"/>
        <family val="2"/>
        <scheme val="minor"/>
      </rPr>
      <t xml:space="preserve"> </t>
    </r>
  </si>
  <si>
    <t>wp_lf</t>
  </si>
  <si>
    <t>wz_rhp</t>
  </si>
  <si>
    <t>wz_esr</t>
  </si>
  <si>
    <t>Se</t>
  </si>
  <si>
    <t>Sn</t>
  </si>
  <si>
    <t>wsl</t>
  </si>
  <si>
    <t>Q</t>
  </si>
  <si>
    <t>Rad/s</t>
  </si>
  <si>
    <t>same as usual not dependant on Vin</t>
  </si>
  <si>
    <t>Low Frequency Pole</t>
  </si>
  <si>
    <t>RHPz zero of boost converter with Vin_vari</t>
  </si>
  <si>
    <t>ESR zero cause by output capacitance</t>
  </si>
  <si>
    <t>Down slope at the selected input voltage</t>
  </si>
  <si>
    <t>Rad</t>
  </si>
  <si>
    <t>Error Amplifier</t>
  </si>
  <si>
    <t>Compensation Components</t>
  </si>
  <si>
    <t>RFBT</t>
  </si>
  <si>
    <t>RFBB</t>
  </si>
  <si>
    <t>RCOMP</t>
  </si>
  <si>
    <t>CCOMP</t>
  </si>
  <si>
    <t>Adc_ea</t>
  </si>
  <si>
    <t>wz_ea</t>
  </si>
  <si>
    <t>wp0_ea</t>
  </si>
  <si>
    <t>wp1_ea</t>
  </si>
  <si>
    <t>Top feedback resistor</t>
  </si>
  <si>
    <t>Bottom feedback resistor</t>
  </si>
  <si>
    <t>Type II compensation Resistort</t>
  </si>
  <si>
    <t>Type II compensation Capacitor</t>
  </si>
  <si>
    <t>Type II high frequency capacitor</t>
  </si>
  <si>
    <t>Error Amplifier Zero</t>
  </si>
  <si>
    <t>Error Amplifier pole at the origin</t>
  </si>
  <si>
    <t>Error Amplifier pole at high frequencies</t>
  </si>
  <si>
    <t>F_Cross selected</t>
  </si>
  <si>
    <t>Operating mode</t>
  </si>
  <si>
    <t>CCM Plant Transfer Function</t>
  </si>
  <si>
    <t>Sampling</t>
  </si>
  <si>
    <t>Total</t>
  </si>
  <si>
    <t>Complex</t>
  </si>
  <si>
    <t>Gain</t>
  </si>
  <si>
    <t>Phase</t>
  </si>
  <si>
    <t>COMPLEX</t>
  </si>
  <si>
    <t>Frcoss (VIN)min</t>
  </si>
  <si>
    <t>Fcross (VINvar)</t>
  </si>
  <si>
    <t>wz_RHP</t>
  </si>
  <si>
    <t>Kex_VINmin</t>
  </si>
  <si>
    <t>Km_VINmin</t>
  </si>
  <si>
    <t>Kd_VINmin</t>
  </si>
  <si>
    <t>ADC_VINmin</t>
  </si>
  <si>
    <t>wp_lf_VINmin</t>
  </si>
  <si>
    <t>rad</t>
  </si>
  <si>
    <t>Low frequency pole based on the minimum input voltage</t>
  </si>
  <si>
    <t>fp_lf_VINmin</t>
  </si>
  <si>
    <r>
      <t xml:space="preserve">Plant low frequency pole. </t>
    </r>
    <r>
      <rPr>
        <b/>
        <sz val="11"/>
        <color theme="1"/>
        <rFont val="Calibri"/>
        <family val="2"/>
        <scheme val="minor"/>
      </rPr>
      <t>IN Hz!!!</t>
    </r>
  </si>
  <si>
    <t>wz_esr_VINmin</t>
  </si>
  <si>
    <t>raf</t>
  </si>
  <si>
    <t>ESR zero based on the minimum input voltage</t>
  </si>
  <si>
    <t>fz_esr_VINmin</t>
  </si>
  <si>
    <r>
      <t xml:space="preserve">Plant capacitor ESR zero </t>
    </r>
    <r>
      <rPr>
        <b/>
        <sz val="11"/>
        <color theme="1"/>
        <rFont val="Calibri"/>
        <family val="2"/>
        <scheme val="minor"/>
      </rPr>
      <t>(In Hz)</t>
    </r>
  </si>
  <si>
    <t>wz_RHP_VINmin</t>
  </si>
  <si>
    <t>RHP_zero location based on the minimum input voltage</t>
  </si>
  <si>
    <t>fz_rhp_VINmin</t>
  </si>
  <si>
    <r>
      <t xml:space="preserve">Plant RHP Zero, </t>
    </r>
    <r>
      <rPr>
        <b/>
        <sz val="11"/>
        <color theme="1"/>
        <rFont val="Calibri"/>
        <family val="2"/>
        <scheme val="minor"/>
      </rPr>
      <t>(IN Hz)</t>
    </r>
  </si>
  <si>
    <t>1/10 the swictching frequency</t>
  </si>
  <si>
    <t>Select the lower crossover frequency</t>
  </si>
  <si>
    <t>Se_VINmin</t>
  </si>
  <si>
    <t>Slope compensation (VSL is refered to the current sense resistor)</t>
  </si>
  <si>
    <t>Sn_VINmin</t>
  </si>
  <si>
    <t>wsl_VINmin</t>
  </si>
  <si>
    <t>Sampling pole</t>
  </si>
  <si>
    <t>Q_VINmin</t>
  </si>
  <si>
    <t>Q factor of the inductor sampling curve</t>
  </si>
  <si>
    <t>CCM Open Loop Response</t>
  </si>
  <si>
    <t>Displayed Loop Calclation</t>
  </si>
  <si>
    <t>ADC_ea</t>
  </si>
  <si>
    <t xml:space="preserve">Gain </t>
  </si>
  <si>
    <t>Cout_Calc_Ripple_VINmin</t>
  </si>
  <si>
    <r>
      <t xml:space="preserve">Output Capacitance </t>
    </r>
    <r>
      <rPr>
        <vertAlign val="subscript"/>
        <sz val="16"/>
        <color theme="1"/>
        <rFont val="Calibri"/>
        <family val="2"/>
        <scheme val="minor"/>
      </rPr>
      <t>(per phase)</t>
    </r>
  </si>
  <si>
    <t>ms</t>
  </si>
  <si>
    <r>
      <t>Calculated soft-start capacitor (C</t>
    </r>
    <r>
      <rPr>
        <vertAlign val="subscript"/>
        <sz val="11"/>
        <color theme="1"/>
        <rFont val="Calibri"/>
        <family val="2"/>
        <scheme val="minor"/>
      </rPr>
      <t>SS</t>
    </r>
    <r>
      <rPr>
        <sz val="11"/>
        <color theme="1"/>
        <rFont val="Calibri"/>
        <family val="2"/>
        <scheme val="minor"/>
      </rPr>
      <t>)</t>
    </r>
  </si>
  <si>
    <t>Soft-Start Capacitor Calculation</t>
  </si>
  <si>
    <t>Feedback Resistor Calculations</t>
  </si>
  <si>
    <r>
      <t>Desired minimum soft-start time at maximum input voltage (T</t>
    </r>
    <r>
      <rPr>
        <vertAlign val="subscript"/>
        <sz val="11"/>
        <color theme="1"/>
        <rFont val="Calibri"/>
        <family val="2"/>
        <scheme val="minor"/>
      </rPr>
      <t>SS_MIN</t>
    </r>
    <r>
      <rPr>
        <sz val="11"/>
        <color theme="1"/>
        <rFont val="Calibri"/>
        <family val="2"/>
        <scheme val="minor"/>
      </rPr>
      <t>)</t>
    </r>
  </si>
  <si>
    <r>
      <t>Maximum soft-start time at minimum input voltage (T</t>
    </r>
    <r>
      <rPr>
        <vertAlign val="subscript"/>
        <sz val="11"/>
        <color theme="1"/>
        <rFont val="Calibri"/>
        <family val="2"/>
        <scheme val="minor"/>
      </rPr>
      <t>SS_MAX</t>
    </r>
    <r>
      <rPr>
        <sz val="11"/>
        <color theme="1"/>
        <rFont val="Calibri"/>
        <family val="2"/>
        <scheme val="minor"/>
      </rPr>
      <t>)</t>
    </r>
  </si>
  <si>
    <t>Light load operation switching mode</t>
  </si>
  <si>
    <r>
      <t xml:space="preserve"> Output Power Per Phase, P</t>
    </r>
    <r>
      <rPr>
        <vertAlign val="subscript"/>
        <sz val="10"/>
        <color theme="1"/>
        <rFont val="Calibri"/>
        <family val="2"/>
        <scheme val="minor"/>
      </rPr>
      <t>OUT</t>
    </r>
    <r>
      <rPr>
        <sz val="10"/>
        <color theme="1"/>
        <rFont val="Calibri"/>
        <family val="2"/>
        <scheme val="minor"/>
      </rPr>
      <t xml:space="preserve"> </t>
    </r>
  </si>
  <si>
    <r>
      <t>Total Output Power, P</t>
    </r>
    <r>
      <rPr>
        <vertAlign val="subscript"/>
        <sz val="10"/>
        <color theme="1"/>
        <rFont val="Calibri"/>
        <family val="2"/>
        <scheme val="minor"/>
      </rPr>
      <t>OUT</t>
    </r>
    <r>
      <rPr>
        <sz val="10"/>
        <color theme="1"/>
        <rFont val="Calibri"/>
        <family val="2"/>
        <scheme val="minor"/>
      </rPr>
      <t xml:space="preserve"> </t>
    </r>
  </si>
  <si>
    <t>selected switching mode (1 = SKIP, 2 = DEM, 3 =FPWM) Will change the effieciency calculations accordingly</t>
  </si>
  <si>
    <t>W</t>
  </si>
  <si>
    <t>SW_mode</t>
  </si>
  <si>
    <t>SKIP</t>
  </si>
  <si>
    <t>DEM</t>
  </si>
  <si>
    <t>FPWM</t>
  </si>
  <si>
    <t>DC_VIN_var_DCM</t>
  </si>
  <si>
    <t>Fm_DCM</t>
  </si>
  <si>
    <t>ADC_VIN_min_DCM</t>
  </si>
  <si>
    <t>wp_lf_DCM</t>
  </si>
  <si>
    <t>wz1_dcm</t>
  </si>
  <si>
    <t>wz2_dcm</t>
  </si>
  <si>
    <t>DCM Operation Loop Model</t>
  </si>
  <si>
    <t>DCM Open Loop Response</t>
  </si>
  <si>
    <t>DEM_DCM_mode</t>
  </si>
  <si>
    <t>Selected VIN</t>
  </si>
  <si>
    <t>DCM Plant Transfer Function</t>
  </si>
  <si>
    <t>Frequency</t>
  </si>
  <si>
    <t>Gain(dB)</t>
  </si>
  <si>
    <t>Phase (deg)</t>
  </si>
  <si>
    <r>
      <t>On-State Resistance, R</t>
    </r>
    <r>
      <rPr>
        <vertAlign val="subscript"/>
        <sz val="10"/>
        <color theme="2" tint="-0.89999084444715716"/>
        <rFont val="Arial"/>
        <family val="2"/>
      </rPr>
      <t>DS(on)</t>
    </r>
    <r>
      <rPr>
        <sz val="10"/>
        <color theme="2" tint="-0.89999084444715716"/>
        <rFont val="Arial"/>
        <family val="2"/>
      </rPr>
      <t xml:space="preserve"> </t>
    </r>
  </si>
  <si>
    <t>mΩ</t>
  </si>
  <si>
    <r>
      <t>Total Gate Charge, Q</t>
    </r>
    <r>
      <rPr>
        <vertAlign val="subscript"/>
        <sz val="10"/>
        <color theme="2" tint="-0.89999084444715716"/>
        <rFont val="Arial"/>
        <family val="2"/>
      </rPr>
      <t>G</t>
    </r>
    <r>
      <rPr>
        <sz val="10"/>
        <color theme="2" tint="-0.89999084444715716"/>
        <rFont val="Arial"/>
        <family val="2"/>
      </rPr>
      <t xml:space="preserve"> </t>
    </r>
  </si>
  <si>
    <t>nC</t>
  </si>
  <si>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</si>
  <si>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</si>
  <si>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</si>
  <si>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t>Ω</t>
  </si>
  <si>
    <r>
      <t>Gate-Source Threshold Voltage, V</t>
    </r>
    <r>
      <rPr>
        <vertAlign val="subscript"/>
        <sz val="10"/>
        <color theme="2" tint="-0.89999084444715716"/>
        <rFont val="Arial"/>
        <family val="2"/>
      </rPr>
      <t>TH</t>
    </r>
    <r>
      <rPr>
        <sz val="10"/>
        <color theme="2" tint="-0.89999084444715716"/>
        <rFont val="Arial"/>
        <family val="2"/>
      </rPr>
      <t xml:space="preserve"> </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</si>
  <si>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</si>
  <si>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</si>
  <si>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</si>
  <si>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</si>
  <si>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</si>
  <si>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Gate-Source Threshold Voltage, (V</t>
    </r>
    <r>
      <rPr>
        <vertAlign val="subscript"/>
        <sz val="10"/>
        <color theme="2" tint="-0.89999084444715716"/>
        <rFont val="Arial"/>
        <family val="2"/>
      </rPr>
      <t>TH</t>
    </r>
    <r>
      <rPr>
        <sz val="10"/>
        <color theme="2" tint="-0.89999084444715716"/>
        <rFont val="Arial"/>
        <family val="2"/>
      </rPr>
      <t>)</t>
    </r>
  </si>
  <si>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</si>
  <si>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</si>
  <si>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t>EXCEL Variables Names/Calculations</t>
  </si>
  <si>
    <t>Operation Variables</t>
  </si>
  <si>
    <t>Inductor</t>
  </si>
  <si>
    <t>Low-Side MOSFET</t>
  </si>
  <si>
    <t>High-Side MOSFET Losses</t>
  </si>
  <si>
    <t>Other Losses</t>
  </si>
  <si>
    <t>Total Losses</t>
  </si>
  <si>
    <t>VIN</t>
  </si>
  <si>
    <t>IIN</t>
  </si>
  <si>
    <t>DCM/CCM</t>
  </si>
  <si>
    <t>DC</t>
  </si>
  <si>
    <t>DC_off</t>
  </si>
  <si>
    <t>dIL</t>
  </si>
  <si>
    <r>
      <t>IL</t>
    </r>
    <r>
      <rPr>
        <vertAlign val="subscript"/>
        <sz val="11"/>
        <color theme="1"/>
        <rFont val="Calibri"/>
        <family val="2"/>
        <scheme val="minor"/>
      </rPr>
      <t>PEAK</t>
    </r>
  </si>
  <si>
    <r>
      <t>IL</t>
    </r>
    <r>
      <rPr>
        <vertAlign val="subscript"/>
        <sz val="11"/>
        <color theme="1"/>
        <rFont val="Calibri"/>
        <family val="2"/>
        <scheme val="minor"/>
      </rPr>
      <t>RMS</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</si>
  <si>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</si>
  <si>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</si>
  <si>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L_tot</t>
    </r>
    <r>
      <rPr>
        <sz val="11"/>
        <color theme="1"/>
        <rFont val="Calibri"/>
        <family val="2"/>
        <scheme val="minor"/>
      </rPr>
      <t xml:space="preserve"> (W)</t>
    </r>
  </si>
  <si>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</si>
  <si>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</si>
  <si>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</si>
  <si>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</si>
  <si>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</si>
  <si>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ID</t>
    </r>
    <r>
      <rPr>
        <vertAlign val="subscript"/>
        <sz val="11"/>
        <color theme="1"/>
        <rFont val="Calibri"/>
        <family val="2"/>
        <scheme val="minor"/>
      </rPr>
      <t xml:space="preserve">AVG </t>
    </r>
    <r>
      <rPr>
        <sz val="11"/>
        <color theme="1"/>
        <rFont val="Calibri"/>
        <family val="2"/>
        <scheme val="minor"/>
      </rPr>
      <t>(A)</t>
    </r>
  </si>
  <si>
    <r>
      <t>IHS</t>
    </r>
    <r>
      <rPr>
        <vertAlign val="subscript"/>
        <sz val="11"/>
        <color theme="1"/>
        <rFont val="Calibri"/>
        <family val="2"/>
        <scheme val="minor"/>
      </rPr>
      <t>RMS</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</si>
  <si>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</si>
  <si>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</si>
  <si>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t>Dead Time losses</t>
  </si>
  <si>
    <r>
      <t>P</t>
    </r>
    <r>
      <rPr>
        <vertAlign val="subscript"/>
        <sz val="11"/>
        <color theme="1"/>
        <rFont val="Calibri"/>
        <family val="2"/>
        <scheme val="minor"/>
      </rPr>
      <t xml:space="preserve">HS_tot </t>
    </r>
    <r>
      <rPr>
        <sz val="11"/>
        <color theme="1"/>
        <rFont val="Calibri"/>
        <family val="2"/>
        <scheme val="minor"/>
      </rPr>
      <t>(W)</t>
    </r>
  </si>
  <si>
    <r>
      <t>P</t>
    </r>
    <r>
      <rPr>
        <vertAlign val="subscript"/>
        <sz val="11"/>
        <color theme="1"/>
        <rFont val="Calibri"/>
        <family val="2"/>
        <scheme val="minor"/>
      </rPr>
      <t>RCS</t>
    </r>
    <r>
      <rPr>
        <sz val="11"/>
        <color theme="1"/>
        <rFont val="Calibri"/>
        <family val="2"/>
        <scheme val="minor"/>
      </rPr>
      <t xml:space="preserve"> (W)</t>
    </r>
  </si>
  <si>
    <r>
      <t>P</t>
    </r>
    <r>
      <rPr>
        <vertAlign val="subscript"/>
        <sz val="11"/>
        <color theme="1"/>
        <rFont val="Calibri"/>
        <family val="2"/>
        <scheme val="minor"/>
      </rPr>
      <t>L_CORE</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</si>
  <si>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</si>
  <si>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</si>
  <si>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</si>
  <si>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OUT</t>
    </r>
    <r>
      <rPr>
        <sz val="11"/>
        <color theme="1"/>
        <rFont val="Calibri"/>
        <family val="2"/>
        <scheme val="minor"/>
      </rPr>
      <t xml:space="preserve"> (W)</t>
    </r>
  </si>
  <si>
    <t>Eff</t>
  </si>
  <si>
    <t>Step size</t>
  </si>
  <si>
    <t>Diode Parameters</t>
  </si>
  <si>
    <t>Id_AVG</t>
  </si>
  <si>
    <t xml:space="preserve">Suggested average current rating of diode. </t>
  </si>
  <si>
    <t>LOW Side MOSFET Parameters</t>
  </si>
  <si>
    <t>RDS_on</t>
  </si>
  <si>
    <r>
      <t>On-State Resistance, R</t>
    </r>
    <r>
      <rPr>
        <vertAlign val="subscript"/>
        <sz val="10"/>
        <rFont val="Arial"/>
        <family val="2"/>
      </rPr>
      <t>DS(on)</t>
    </r>
    <r>
      <rPr>
        <sz val="10"/>
        <rFont val="Arial"/>
        <family val="2"/>
      </rPr>
      <t xml:space="preserve"> </t>
    </r>
  </si>
  <si>
    <t>Qg_tot</t>
  </si>
  <si>
    <r>
      <t>Total Gate Charge, Q</t>
    </r>
    <r>
      <rPr>
        <vertAlign val="subscript"/>
        <sz val="10"/>
        <rFont val="Arial"/>
        <family val="2"/>
      </rPr>
      <t>G</t>
    </r>
    <r>
      <rPr>
        <sz val="10"/>
        <rFont val="Arial"/>
        <family val="2"/>
      </rPr>
      <t xml:space="preserve"> </t>
    </r>
  </si>
  <si>
    <t>Qgd</t>
  </si>
  <si>
    <r>
      <t>Gate-Drain Charge, Q</t>
    </r>
    <r>
      <rPr>
        <vertAlign val="subscript"/>
        <sz val="10"/>
        <rFont val="Arial"/>
        <family val="2"/>
      </rPr>
      <t>GD</t>
    </r>
    <r>
      <rPr>
        <sz val="10"/>
        <rFont val="Arial"/>
        <family val="2"/>
      </rPr>
      <t xml:space="preserve"> </t>
    </r>
  </si>
  <si>
    <t>Qgs</t>
  </si>
  <si>
    <r>
      <t>Gate-Source Charge, Q</t>
    </r>
    <r>
      <rPr>
        <vertAlign val="subscript"/>
        <sz val="10"/>
        <rFont val="Arial"/>
        <family val="2"/>
      </rPr>
      <t>GS</t>
    </r>
    <r>
      <rPr>
        <sz val="10"/>
        <rFont val="Arial"/>
        <family val="2"/>
      </rPr>
      <t xml:space="preserve"> </t>
    </r>
  </si>
  <si>
    <t>Rgate</t>
  </si>
  <si>
    <r>
      <t>Gate Resistance, R</t>
    </r>
    <r>
      <rPr>
        <vertAlign val="subscript"/>
        <sz val="10"/>
        <rFont val="Arial"/>
        <family val="2"/>
      </rPr>
      <t>G</t>
    </r>
    <r>
      <rPr>
        <sz val="10"/>
        <rFont val="Arial"/>
        <family val="2"/>
      </rPr>
      <t xml:space="preserve"> </t>
    </r>
  </si>
  <si>
    <t>Rgate_int</t>
  </si>
  <si>
    <t>Internal Gate resistance of the MOSFET driver.</t>
  </si>
  <si>
    <t>gfs</t>
  </si>
  <si>
    <t>S</t>
  </si>
  <si>
    <r>
      <t>Transconductance, g</t>
    </r>
    <r>
      <rPr>
        <vertAlign val="subscript"/>
        <sz val="10"/>
        <rFont val="Arial"/>
        <family val="2"/>
      </rPr>
      <t>FS</t>
    </r>
    <r>
      <rPr>
        <sz val="10"/>
        <rFont val="Arial"/>
        <family val="2"/>
      </rPr>
      <t xml:space="preserve"> </t>
    </r>
  </si>
  <si>
    <t>Vth</t>
  </si>
  <si>
    <r>
      <t>Gate-Source Threshold Voltage, V</t>
    </r>
    <r>
      <rPr>
        <vertAlign val="subscript"/>
        <sz val="10"/>
        <rFont val="Arial"/>
        <family val="2"/>
      </rPr>
      <t>TH</t>
    </r>
    <r>
      <rPr>
        <sz val="10"/>
        <rFont val="Arial"/>
        <family val="2"/>
      </rPr>
      <t xml:space="preserve"> </t>
    </r>
  </si>
  <si>
    <t xml:space="preserve">VCC voltage. Can be changed with external bias. </t>
  </si>
  <si>
    <t>Vsp</t>
  </si>
  <si>
    <t>Gate voltage when MOSFET begins conducting current</t>
  </si>
  <si>
    <t>tr_sw</t>
  </si>
  <si>
    <t>Rise time of the switch node</t>
  </si>
  <si>
    <t>tf_sw</t>
  </si>
  <si>
    <t>Fall time of the switch node</t>
  </si>
  <si>
    <t>High Side MOSFET Parameters</t>
  </si>
  <si>
    <t>Qrr</t>
  </si>
  <si>
    <t>C</t>
  </si>
  <si>
    <t>Body Diode Reverse recovery charge</t>
  </si>
  <si>
    <t>Vd_rect</t>
  </si>
  <si>
    <t>Body Diode Forward drop</t>
  </si>
  <si>
    <t>EFF_est</t>
  </si>
  <si>
    <t>Est. Eff 100% for simplicity Eff calculations</t>
  </si>
  <si>
    <r>
      <t>Selected Slope Compensation Resistor (R</t>
    </r>
    <r>
      <rPr>
        <vertAlign val="subscript"/>
        <sz val="11"/>
        <color theme="1"/>
        <rFont val="Calibri"/>
        <family val="2"/>
        <scheme val="minor"/>
      </rPr>
      <t>SL</t>
    </r>
    <r>
      <rPr>
        <sz val="11"/>
        <color theme="1"/>
        <rFont val="Calibri"/>
        <family val="2"/>
        <scheme val="minor"/>
      </rPr>
      <t>)</t>
    </r>
  </si>
  <si>
    <r>
      <t>Calculated slope Compensation Resistor (R</t>
    </r>
    <r>
      <rPr>
        <vertAlign val="subscript"/>
        <sz val="11"/>
        <color theme="1"/>
        <rFont val="Calibri"/>
        <family val="2"/>
        <scheme val="minor"/>
      </rPr>
      <t>SL_calc</t>
    </r>
    <r>
      <rPr>
        <sz val="11"/>
        <color theme="1"/>
        <rFont val="Calibri"/>
        <family val="2"/>
        <scheme val="minor"/>
      </rPr>
      <t>)</t>
    </r>
  </si>
  <si>
    <r>
      <t>Minimum slope compensation resistor (R</t>
    </r>
    <r>
      <rPr>
        <vertAlign val="subscript"/>
        <sz val="11"/>
        <color theme="1"/>
        <rFont val="Calibri"/>
        <family val="2"/>
        <scheme val="minor"/>
      </rPr>
      <t>SL_MIN</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</si>
  <si>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</si>
  <si>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</si>
  <si>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</si>
  <si>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</si>
  <si>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</si>
  <si>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UVLO Resistor Divider Selection</t>
  </si>
  <si>
    <t>Cout_Calc_FRHP</t>
  </si>
  <si>
    <t>Based on Itransient and Fcrossover from LM5123</t>
  </si>
  <si>
    <r>
      <t>Selected Inductor (R</t>
    </r>
    <r>
      <rPr>
        <vertAlign val="subscript"/>
        <sz val="11"/>
        <color theme="1"/>
        <rFont val="Calibri"/>
        <family val="2"/>
        <scheme val="minor"/>
      </rPr>
      <t>LM</t>
    </r>
    <r>
      <rPr>
        <sz val="11"/>
        <color theme="1"/>
        <rFont val="Calibri"/>
        <family val="2"/>
        <scheme val="minor"/>
      </rPr>
      <t>)</t>
    </r>
  </si>
  <si>
    <t>Cout_Calc</t>
  </si>
  <si>
    <t>Calculated minimum output capacitance</t>
  </si>
  <si>
    <r>
      <t>Calculated output capacitance at VIN MIN and IOUT max from Datasheet (</t>
    </r>
    <r>
      <rPr>
        <b/>
        <sz val="11"/>
        <color theme="1"/>
        <rFont val="Calibri"/>
        <family val="2"/>
        <scheme val="minor"/>
      </rPr>
      <t>not used</t>
    </r>
    <r>
      <rPr>
        <sz val="11"/>
        <color theme="1"/>
        <rFont val="Calibri"/>
        <family val="2"/>
        <scheme val="minor"/>
      </rPr>
      <t>)</t>
    </r>
  </si>
  <si>
    <t>Output capacitance at VIN MIN and IOUT max</t>
  </si>
  <si>
    <t>calc (Vin based on I82 is used)</t>
  </si>
  <si>
    <t>Vin</t>
  </si>
  <si>
    <t>Right half plane zero at VIN_MIN and IOUT_MAX</t>
  </si>
  <si>
    <r>
      <t>Transconductance, g</t>
    </r>
    <r>
      <rPr>
        <b/>
        <vertAlign val="subscript"/>
        <sz val="10"/>
        <rFont val="Arial"/>
        <family val="2"/>
      </rPr>
      <t>FS</t>
    </r>
    <r>
      <rPr>
        <b/>
        <sz val="10"/>
        <rFont val="Arial"/>
        <family val="2"/>
      </rPr>
      <t xml:space="preserve"> </t>
    </r>
  </si>
  <si>
    <t>Current sense amplifier gain (datasheet)</t>
  </si>
  <si>
    <t>Current sense resistor</t>
  </si>
  <si>
    <t>Internal Slope Compensation Resistor</t>
  </si>
  <si>
    <t>Internal Slope Compensation current</t>
  </si>
  <si>
    <t>EVM2PH reference</t>
  </si>
  <si>
    <t>XOVER SEARCH</t>
  </si>
  <si>
    <t>xover</t>
  </si>
  <si>
    <t>phase margin</t>
  </si>
  <si>
    <t>Gain Cross</t>
  </si>
  <si>
    <t>Phase Cross</t>
  </si>
  <si>
    <t>Slope output voltage (datasheet)</t>
  </si>
  <si>
    <t>Gain of Error Amplifier</t>
  </si>
  <si>
    <t>Feedback DC Gain</t>
  </si>
  <si>
    <t>DCM Plant Parameters</t>
  </si>
  <si>
    <t>Selection:</t>
  </si>
  <si>
    <t>ALWAYS SET TO CCM. (No DCM calculation for LM5122 required)</t>
  </si>
  <si>
    <r>
      <t>Typical Input Supply Voltage (V</t>
    </r>
    <r>
      <rPr>
        <vertAlign val="subscript"/>
        <sz val="11"/>
        <color theme="1"/>
        <rFont val="Calibri"/>
        <family val="2"/>
        <scheme val="minor"/>
      </rPr>
      <t>IN_Typ</t>
    </r>
    <r>
      <rPr>
        <sz val="11"/>
        <color theme="1"/>
        <rFont val="Calibri"/>
        <family val="2"/>
        <scheme val="minor"/>
      </rPr>
      <t>)</t>
    </r>
  </si>
  <si>
    <t>Version Number</t>
  </si>
  <si>
    <t>Version History</t>
  </si>
  <si>
    <t>Version</t>
  </si>
  <si>
    <t>Change List Description</t>
  </si>
  <si>
    <t>1.0.0</t>
  </si>
  <si>
    <t>Initial Release</t>
  </si>
  <si>
    <t>Eff_Graph</t>
  </si>
  <si>
    <t xml:space="preserve">selected Efficency graph (1 = Iout, 2 = Vin) </t>
  </si>
  <si>
    <t>http://www.ti.com/product/lm5122</t>
  </si>
  <si>
    <t>Efficiency vs VIN Plot</t>
  </si>
  <si>
    <t>Efficiency vs IOUT Plot</t>
  </si>
  <si>
    <t>1.1.0</t>
  </si>
  <si>
    <t>Adjusted compensation network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</si>
</sst>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E+00"/>
    <numFmt numFmtId="166" formatCode="0.0000"/>
    <numFmt numFmtId="167" formatCode="0.0"/>
    <numFmt numFmtId="168" formatCode="0.000000"/>
    <numFmt numFmtId="169" formatCode="0.000000000"/>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Arial"/>
      <family val="2"/>
    </font>
    <font>
      <sz val="28"/>
      <color theme="0"/>
      <name val="Calibri"/>
      <family val="2"/>
      <scheme val="minor"/>
    </font>
    <font>
      <b/>
      <sz val="12"/>
      <color indexed="9"/>
      <name val="Calibri"/>
      <family val="2"/>
      <scheme val="minor"/>
    </font>
    <font>
      <b/>
      <sz val="10"/>
      <color indexed="9"/>
      <name val="Calibri"/>
      <family val="2"/>
      <scheme val="minor"/>
    </font>
    <font>
      <b/>
      <sz val="12"/>
      <color indexed="10"/>
      <name val="Tahoma"/>
      <family val="2"/>
    </font>
    <font>
      <b/>
      <sz val="8"/>
      <color indexed="81"/>
      <name val="Tahoma"/>
      <family val="2"/>
    </font>
    <font>
      <sz val="9"/>
      <color indexed="81"/>
      <name val="Tahoma"/>
      <family val="2"/>
    </font>
    <font>
      <vertAlign val="subscript"/>
      <sz val="11"/>
      <color theme="1"/>
      <name val="Calibri"/>
      <family val="2"/>
      <scheme val="minor"/>
    </font>
    <font>
      <sz val="11"/>
      <color theme="1"/>
      <name val="Calibri"/>
      <family val="2"/>
    </font>
    <font>
      <b/>
      <sz val="9"/>
      <color indexed="81"/>
      <name val="Tahoma"/>
      <family val="2"/>
    </font>
    <font>
      <b/>
      <sz val="18"/>
      <color theme="1"/>
      <name val="Calibri"/>
      <family val="2"/>
      <scheme val="minor"/>
    </font>
    <font>
      <sz val="16"/>
      <color theme="1"/>
      <name val="Calibri"/>
      <family val="2"/>
      <scheme val="minor"/>
    </font>
    <font>
      <b/>
      <sz val="10"/>
      <color theme="1"/>
      <name val="Calibri"/>
      <family val="2"/>
      <scheme val="minor"/>
    </font>
    <font>
      <sz val="11"/>
      <name val="Calibri"/>
      <family val="2"/>
      <scheme val="minor"/>
    </font>
    <font>
      <vertAlign val="subscript"/>
      <sz val="11"/>
      <name val="Calibri"/>
      <family val="2"/>
      <scheme val="minor"/>
    </font>
    <font>
      <sz val="8"/>
      <color theme="1"/>
      <name val="Calibri"/>
      <family val="2"/>
      <scheme val="minor"/>
    </font>
    <font>
      <b/>
      <sz val="11"/>
      <color theme="2" tint="-0.89999084444715716"/>
      <name val="Calibri"/>
      <family val="2"/>
      <scheme val="minor"/>
    </font>
    <font>
      <b/>
      <vertAlign val="subscript"/>
      <sz val="11"/>
      <color theme="2" tint="-0.89996032593768116"/>
      <name val="Calibri"/>
      <family val="2"/>
      <scheme val="minor"/>
    </font>
    <font>
      <b/>
      <sz val="10"/>
      <name val="Arial"/>
      <family val="2"/>
    </font>
    <font>
      <b/>
      <sz val="10"/>
      <color rgb="FF00B0F0"/>
      <name val="Arial"/>
      <family val="2"/>
    </font>
    <font>
      <b/>
      <sz val="12"/>
      <color rgb="FF00B0F0"/>
      <name val="Calibri"/>
      <family val="2"/>
      <scheme val="minor"/>
    </font>
    <font>
      <u/>
      <sz val="11"/>
      <color theme="1"/>
      <name val="Calibri"/>
      <family val="2"/>
      <scheme val="minor"/>
    </font>
    <font>
      <vertAlign val="subscript"/>
      <sz val="16"/>
      <color theme="1"/>
      <name val="Calibri"/>
      <family val="2"/>
      <scheme val="minor"/>
    </font>
    <font>
      <sz val="10"/>
      <color theme="1"/>
      <name val="Calibri"/>
      <family val="2"/>
      <scheme val="minor"/>
    </font>
    <font>
      <vertAlign val="subscript"/>
      <sz val="10"/>
      <color theme="1"/>
      <name val="Calibri"/>
      <family val="2"/>
      <scheme val="minor"/>
    </font>
    <font>
      <b/>
      <sz val="11"/>
      <color rgb="FF00B0F0"/>
      <name val="Calibri"/>
      <family val="2"/>
      <scheme val="minor"/>
    </font>
    <font>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vertAlign val="subscript"/>
      <sz val="11"/>
      <color theme="2" tint="-0.89996032593768116"/>
      <name val="Calibri"/>
      <family val="2"/>
      <scheme val="minor"/>
    </font>
    <font>
      <sz val="18"/>
      <color theme="1"/>
      <name val="Calibri"/>
      <family val="2"/>
      <scheme val="minor"/>
    </font>
    <font>
      <b/>
      <sz val="22"/>
      <color indexed="44"/>
      <name val="Arial"/>
      <family val="2"/>
    </font>
    <font>
      <b/>
      <sz val="11"/>
      <name val="Calibri"/>
      <family val="2"/>
      <scheme val="minor"/>
    </font>
    <font>
      <b/>
      <sz val="18"/>
      <name val="Calibri"/>
      <family val="2"/>
      <scheme val="minor"/>
    </font>
    <font>
      <vertAlign val="subscript"/>
      <sz val="10"/>
      <name val="Arial"/>
      <family val="2"/>
    </font>
    <font>
      <b/>
      <vertAlign val="subscript"/>
      <sz val="10"/>
      <name val="Arial"/>
      <family val="2"/>
    </font>
    <font>
      <sz val="11"/>
      <color theme="1"/>
      <name val="Arial"/>
      <family val="2"/>
    </font>
    <font>
      <b/>
      <sz val="10"/>
      <color theme="1"/>
      <name val="Arial"/>
      <family val="2"/>
    </font>
    <font>
      <sz val="10"/>
      <color theme="1"/>
      <name val="Arial"/>
      <family val="2"/>
    </font>
    <font>
      <u/>
      <sz val="11"/>
      <color theme="10"/>
      <name val="Calibri"/>
      <family val="2"/>
      <scheme val="minor"/>
    </font>
    <font>
      <b/>
      <u/>
      <sz val="10"/>
      <color theme="10"/>
      <name val="Arial"/>
      <family val="2"/>
    </font>
    <font>
      <b/>
      <sz val="10"/>
      <color theme="0"/>
      <name val="Arial"/>
      <family val="2"/>
    </font>
    <font>
      <b/>
      <u/>
      <sz val="11"/>
      <color theme="10"/>
      <name val="Arial"/>
      <family val="2"/>
    </font>
    <font>
      <sz val="18"/>
      <color theme="0"/>
      <name val="Calibri"/>
      <family val="2"/>
      <scheme val="minor"/>
    </font>
  </fonts>
  <fills count="19">
    <fill>
      <patternFill patternType="none"/>
    </fill>
    <fill>
      <patternFill patternType="gray125"/>
    </fill>
    <fill>
      <patternFill patternType="solid">
        <fgColor rgb="FFFF0000"/>
        <bgColor indexed="64"/>
      </patternFill>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indexed="8"/>
        <bgColor indexed="64"/>
      </patternFill>
    </fill>
    <fill>
      <patternFill patternType="solid">
        <fgColor theme="5" tint="0.79998168889431442"/>
        <bgColor indexed="64"/>
      </patternFill>
    </fill>
    <fill>
      <patternFill patternType="solid">
        <fgColor rgb="FF00B050"/>
        <bgColor indexed="64"/>
      </patternFill>
    </fill>
    <fill>
      <patternFill patternType="solid">
        <fgColor indexed="44"/>
        <bgColor indexed="64"/>
      </patternFill>
    </fill>
    <fill>
      <patternFill patternType="solid">
        <fgColor rgb="FFDE0000"/>
        <bgColor indexed="64"/>
      </patternFill>
    </fill>
    <fill>
      <patternFill patternType="solid">
        <fgColor theme="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4" fillId="0" borderId="0"/>
    <xf numFmtId="0" fontId="4" fillId="0" borderId="0"/>
    <xf numFmtId="0" fontId="43" fillId="0" borderId="0" applyNumberFormat="0" applyFill="0" applyBorder="0" applyAlignment="0" applyProtection="0"/>
  </cellStyleXfs>
  <cellXfs count="271">
    <xf numFmtId="0" fontId="0" fillId="0" borderId="0" xfId="0"/>
    <xf numFmtId="0" fontId="0" fillId="0" borderId="1" xfId="0" applyBorder="1"/>
    <xf numFmtId="0" fontId="0" fillId="0" borderId="1" xfId="0" applyBorder="1" applyAlignment="1">
      <alignment vertical="center"/>
    </xf>
    <xf numFmtId="0" fontId="1" fillId="3" borderId="7" xfId="0" applyFont="1" applyFill="1" applyBorder="1"/>
    <xf numFmtId="0" fontId="1" fillId="3" borderId="0" xfId="0" applyFont="1" applyFill="1"/>
    <xf numFmtId="0" fontId="1" fillId="3" borderId="0" xfId="0" applyFont="1" applyFill="1" applyAlignment="1">
      <alignment horizontal="center" vertical="center"/>
    </xf>
    <xf numFmtId="0" fontId="3" fillId="3" borderId="0" xfId="0" applyFont="1" applyFill="1"/>
    <xf numFmtId="0" fontId="6" fillId="3" borderId="7" xfId="1" applyFont="1" applyFill="1" applyBorder="1" applyAlignment="1">
      <alignment horizontal="left" vertical="center"/>
    </xf>
    <xf numFmtId="0" fontId="7" fillId="3" borderId="0" xfId="2" applyFont="1" applyFill="1" applyAlignment="1">
      <alignment vertical="center"/>
    </xf>
    <xf numFmtId="0" fontId="7" fillId="4" borderId="0" xfId="2" applyFont="1" applyFill="1" applyAlignment="1">
      <alignment vertical="center"/>
    </xf>
    <xf numFmtId="0" fontId="6" fillId="3" borderId="0" xfId="2" quotePrefix="1" applyFont="1" applyFill="1" applyAlignment="1">
      <alignment vertical="center"/>
    </xf>
    <xf numFmtId="0" fontId="1" fillId="3" borderId="8" xfId="0" applyFont="1" applyFill="1" applyBorder="1"/>
    <xf numFmtId="0" fontId="1" fillId="3" borderId="9" xfId="0" applyFont="1" applyFill="1" applyBorder="1"/>
    <xf numFmtId="0" fontId="1" fillId="3" borderId="9" xfId="0" applyFont="1" applyFill="1" applyBorder="1" applyAlignment="1">
      <alignment horizontal="center" vertical="center"/>
    </xf>
    <xf numFmtId="0" fontId="3" fillId="3" borderId="9" xfId="0" applyFont="1" applyFill="1" applyBorder="1"/>
    <xf numFmtId="0" fontId="0" fillId="0" borderId="0" xfId="0" applyAlignment="1">
      <alignment horizontal="right"/>
    </xf>
    <xf numFmtId="0" fontId="0" fillId="0" borderId="0" xfId="0" applyAlignment="1">
      <alignment vertical="top"/>
    </xf>
    <xf numFmtId="0" fontId="0" fillId="4" borderId="1" xfId="0" applyFill="1" applyBorder="1"/>
    <xf numFmtId="0" fontId="0" fillId="4" borderId="0" xfId="0" applyFill="1" applyAlignment="1">
      <alignment vertical="top"/>
    </xf>
    <xf numFmtId="0" fontId="0" fillId="0" borderId="0" xfId="0" applyAlignment="1">
      <alignment horizontal="left"/>
    </xf>
    <xf numFmtId="0" fontId="14" fillId="0" borderId="0" xfId="0" applyFont="1"/>
    <xf numFmtId="0" fontId="0" fillId="5" borderId="0" xfId="0" applyFill="1"/>
    <xf numFmtId="0" fontId="0" fillId="6" borderId="0" xfId="0" applyFill="1"/>
    <xf numFmtId="0" fontId="0" fillId="7" borderId="0" xfId="0" applyFill="1"/>
    <xf numFmtId="0" fontId="14" fillId="0" borderId="0" xfId="0" applyFont="1" applyAlignment="1">
      <alignment horizontal="left"/>
    </xf>
    <xf numFmtId="0" fontId="0" fillId="0" borderId="0" xfId="0" applyAlignment="1">
      <alignment wrapText="1"/>
    </xf>
    <xf numFmtId="1" fontId="0" fillId="7" borderId="0" xfId="0" applyNumberFormat="1" applyFill="1"/>
    <xf numFmtId="11" fontId="0" fillId="7" borderId="0" xfId="0" applyNumberFormat="1" applyFill="1"/>
    <xf numFmtId="165" fontId="0" fillId="7" borderId="0" xfId="0" applyNumberFormat="1" applyFill="1"/>
    <xf numFmtId="0" fontId="0" fillId="8" borderId="0" xfId="0" applyFill="1"/>
    <xf numFmtId="0" fontId="1" fillId="3" borderId="0" xfId="0" applyFont="1" applyFill="1" applyAlignment="1">
      <alignment horizontal="right"/>
    </xf>
    <xf numFmtId="0" fontId="1" fillId="3" borderId="9" xfId="0" applyFont="1" applyFill="1" applyBorder="1" applyAlignment="1">
      <alignment horizontal="right"/>
    </xf>
    <xf numFmtId="166" fontId="0" fillId="0" borderId="0" xfId="0" applyNumberFormat="1"/>
    <xf numFmtId="11" fontId="0" fillId="6" borderId="0" xfId="0" applyNumberFormat="1" applyFill="1"/>
    <xf numFmtId="0" fontId="0" fillId="0" borderId="0" xfId="0" quotePrefix="1"/>
    <xf numFmtId="0" fontId="0" fillId="0" borderId="0" xfId="0" applyAlignment="1">
      <alignment horizontal="center" vertical="center" wrapText="1"/>
    </xf>
    <xf numFmtId="2" fontId="0" fillId="0" borderId="0" xfId="0" applyNumberFormat="1"/>
    <xf numFmtId="164" fontId="0" fillId="0" borderId="0" xfId="0" applyNumberFormat="1"/>
    <xf numFmtId="164" fontId="0" fillId="7" borderId="0" xfId="0" applyNumberFormat="1" applyFill="1"/>
    <xf numFmtId="166" fontId="0" fillId="7" borderId="0" xfId="0" applyNumberFormat="1" applyFill="1"/>
    <xf numFmtId="164" fontId="0" fillId="5" borderId="0" xfId="0" applyNumberFormat="1" applyFill="1"/>
    <xf numFmtId="2" fontId="0" fillId="7" borderId="0" xfId="0" applyNumberFormat="1" applyFill="1"/>
    <xf numFmtId="0" fontId="17" fillId="0" borderId="0" xfId="0" applyFont="1" applyAlignment="1">
      <alignment horizontal="right"/>
    </xf>
    <xf numFmtId="0" fontId="3" fillId="0" borderId="0" xfId="0" applyFont="1"/>
    <xf numFmtId="167" fontId="0" fillId="9" borderId="12" xfId="0" applyNumberFormat="1" applyFill="1" applyBorder="1" applyProtection="1">
      <protection hidden="1"/>
    </xf>
    <xf numFmtId="0" fontId="12" fillId="9" borderId="12" xfId="0" applyFont="1" applyFill="1" applyBorder="1" applyAlignment="1" applyProtection="1">
      <alignment horizontal="left"/>
      <protection hidden="1"/>
    </xf>
    <xf numFmtId="0" fontId="12" fillId="9" borderId="11" xfId="0" applyFont="1" applyFill="1" applyBorder="1" applyProtection="1">
      <protection hidden="1"/>
    </xf>
    <xf numFmtId="0" fontId="0" fillId="9" borderId="11" xfId="0" applyFill="1" applyBorder="1" applyProtection="1">
      <protection hidden="1"/>
    </xf>
    <xf numFmtId="1" fontId="0" fillId="9" borderId="8" xfId="0" applyNumberFormat="1" applyFill="1" applyBorder="1" applyProtection="1">
      <protection hidden="1"/>
    </xf>
    <xf numFmtId="0" fontId="0" fillId="9" borderId="8" xfId="0" applyFill="1" applyBorder="1" applyAlignment="1" applyProtection="1">
      <alignment horizontal="left"/>
      <protection hidden="1"/>
    </xf>
    <xf numFmtId="0" fontId="0" fillId="9" borderId="15" xfId="0" applyFill="1" applyBorder="1" applyProtection="1">
      <protection hidden="1"/>
    </xf>
    <xf numFmtId="0" fontId="0" fillId="9" borderId="5" xfId="0" applyFill="1" applyBorder="1" applyProtection="1">
      <protection hidden="1"/>
    </xf>
    <xf numFmtId="0" fontId="0" fillId="9" borderId="6" xfId="0" applyFill="1" applyBorder="1" applyAlignment="1" applyProtection="1">
      <alignment horizontal="center"/>
      <protection hidden="1"/>
    </xf>
    <xf numFmtId="0" fontId="0" fillId="9" borderId="16" xfId="0" applyFill="1" applyBorder="1" applyAlignment="1" applyProtection="1">
      <alignment horizontal="center"/>
      <protection hidden="1"/>
    </xf>
    <xf numFmtId="0" fontId="0" fillId="9" borderId="17" xfId="0" applyFill="1" applyBorder="1" applyAlignment="1" applyProtection="1">
      <alignment horizontal="center"/>
      <protection hidden="1"/>
    </xf>
    <xf numFmtId="0" fontId="0" fillId="0" borderId="5" xfId="0" applyBorder="1"/>
    <xf numFmtId="0" fontId="0" fillId="0" borderId="6" xfId="0" applyBorder="1"/>
    <xf numFmtId="0" fontId="0" fillId="0" borderId="17" xfId="0" applyBorder="1"/>
    <xf numFmtId="0" fontId="0" fillId="0" borderId="7" xfId="0" applyBorder="1"/>
    <xf numFmtId="0" fontId="0" fillId="4" borderId="0" xfId="0" applyFill="1"/>
    <xf numFmtId="0" fontId="0" fillId="0" borderId="11" xfId="0" applyBorder="1"/>
    <xf numFmtId="0" fontId="0" fillId="0" borderId="8" xfId="0" applyBorder="1"/>
    <xf numFmtId="0" fontId="0" fillId="0" borderId="9" xfId="0" applyBorder="1"/>
    <xf numFmtId="0" fontId="0" fillId="0" borderId="15" xfId="0" applyBorder="1"/>
    <xf numFmtId="164" fontId="0" fillId="0" borderId="9" xfId="0" applyNumberFormat="1" applyBorder="1"/>
    <xf numFmtId="0" fontId="20" fillId="9" borderId="0" xfId="0" applyFont="1" applyFill="1" applyAlignment="1" applyProtection="1">
      <alignment horizontal="left"/>
      <protection hidden="1"/>
    </xf>
    <xf numFmtId="0" fontId="22" fillId="0" borderId="0" xfId="2" applyFont="1"/>
    <xf numFmtId="0" fontId="4" fillId="0" borderId="0" xfId="2"/>
    <xf numFmtId="0" fontId="22" fillId="0" borderId="0" xfId="2" applyFont="1" applyAlignment="1">
      <alignment horizontal="center"/>
    </xf>
    <xf numFmtId="0" fontId="23" fillId="0" borderId="0" xfId="2" applyFont="1"/>
    <xf numFmtId="0" fontId="12" fillId="0" borderId="0" xfId="0" applyFont="1"/>
    <xf numFmtId="0" fontId="22" fillId="10" borderId="0" xfId="2" applyFont="1" applyFill="1" applyAlignment="1">
      <alignment horizontal="center"/>
    </xf>
    <xf numFmtId="0" fontId="22" fillId="11" borderId="0" xfId="2" applyFont="1" applyFill="1" applyAlignment="1">
      <alignment horizontal="center"/>
    </xf>
    <xf numFmtId="0" fontId="22" fillId="12" borderId="0" xfId="2" applyFont="1" applyFill="1" applyAlignment="1">
      <alignment horizontal="center"/>
    </xf>
    <xf numFmtId="0" fontId="24" fillId="0" borderId="0" xfId="0" applyFont="1"/>
    <xf numFmtId="0" fontId="0" fillId="0" borderId="13" xfId="0" applyBorder="1"/>
    <xf numFmtId="0" fontId="0" fillId="0" borderId="18" xfId="0" applyBorder="1"/>
    <xf numFmtId="0" fontId="0" fillId="0" borderId="20" xfId="0" applyBorder="1"/>
    <xf numFmtId="0" fontId="4" fillId="0" borderId="12" xfId="2" applyBorder="1"/>
    <xf numFmtId="0" fontId="0" fillId="0" borderId="19" xfId="0" applyBorder="1"/>
    <xf numFmtId="0" fontId="4" fillId="0" borderId="19" xfId="2" applyBorder="1"/>
    <xf numFmtId="0" fontId="4" fillId="0" borderId="18" xfId="2" applyBorder="1"/>
    <xf numFmtId="164" fontId="4" fillId="0" borderId="19" xfId="2" applyNumberFormat="1" applyBorder="1"/>
    <xf numFmtId="164" fontId="0" fillId="0" borderId="19" xfId="0" applyNumberFormat="1" applyBorder="1"/>
    <xf numFmtId="0" fontId="0" fillId="0" borderId="16" xfId="0" applyBorder="1"/>
    <xf numFmtId="1" fontId="0" fillId="0" borderId="17" xfId="0" applyNumberFormat="1" applyBorder="1"/>
    <xf numFmtId="164" fontId="4" fillId="0" borderId="6" xfId="2" applyNumberFormat="1" applyBorder="1"/>
    <xf numFmtId="0" fontId="4" fillId="0" borderId="6" xfId="2" applyBorder="1"/>
    <xf numFmtId="0" fontId="4" fillId="0" borderId="5" xfId="2" applyBorder="1"/>
    <xf numFmtId="164" fontId="0" fillId="0" borderId="6" xfId="0" applyNumberFormat="1" applyBorder="1"/>
    <xf numFmtId="1" fontId="0" fillId="0" borderId="11" xfId="0" applyNumberFormat="1" applyBorder="1"/>
    <xf numFmtId="164" fontId="4" fillId="0" borderId="0" xfId="2" applyNumberFormat="1"/>
    <xf numFmtId="0" fontId="4" fillId="0" borderId="7" xfId="2" applyBorder="1"/>
    <xf numFmtId="0" fontId="0" fillId="0" borderId="14" xfId="0" applyBorder="1"/>
    <xf numFmtId="1" fontId="0" fillId="0" borderId="15" xfId="0" applyNumberFormat="1" applyBorder="1"/>
    <xf numFmtId="164" fontId="4" fillId="0" borderId="9" xfId="2" applyNumberFormat="1" applyBorder="1"/>
    <xf numFmtId="0" fontId="4" fillId="0" borderId="9" xfId="2" applyBorder="1"/>
    <xf numFmtId="0" fontId="4" fillId="0" borderId="8" xfId="2" applyBorder="1"/>
    <xf numFmtId="0" fontId="25" fillId="0" borderId="0" xfId="0" applyFont="1"/>
    <xf numFmtId="0" fontId="0" fillId="0" borderId="12" xfId="0" applyBorder="1"/>
    <xf numFmtId="164" fontId="0" fillId="0" borderId="7" xfId="0" applyNumberFormat="1" applyBorder="1"/>
    <xf numFmtId="0" fontId="0" fillId="0" borderId="0" xfId="0" applyAlignment="1">
      <alignment horizontal="center"/>
    </xf>
    <xf numFmtId="0" fontId="0" fillId="4" borderId="0" xfId="0" applyFill="1" applyAlignment="1">
      <alignment horizontal="left"/>
    </xf>
    <xf numFmtId="168" fontId="0" fillId="7" borderId="0" xfId="0" applyNumberFormat="1" applyFill="1"/>
    <xf numFmtId="0" fontId="27" fillId="9" borderId="0" xfId="2" applyFont="1" applyFill="1" applyAlignment="1" applyProtection="1">
      <alignment horizontal="right"/>
      <protection hidden="1"/>
    </xf>
    <xf numFmtId="0" fontId="29" fillId="0" borderId="0" xfId="0" applyFont="1"/>
    <xf numFmtId="2" fontId="0" fillId="0" borderId="12" xfId="0" applyNumberFormat="1" applyBorder="1"/>
    <xf numFmtId="2" fontId="0" fillId="0" borderId="7" xfId="0" applyNumberFormat="1" applyBorder="1"/>
    <xf numFmtId="2" fontId="0" fillId="0" borderId="8" xfId="0" applyNumberFormat="1" applyBorder="1"/>
    <xf numFmtId="0" fontId="4" fillId="0" borderId="15" xfId="2" applyBorder="1"/>
    <xf numFmtId="0" fontId="4" fillId="0" borderId="11" xfId="2" applyBorder="1"/>
    <xf numFmtId="0" fontId="30" fillId="9" borderId="5" xfId="0" applyFont="1" applyFill="1" applyBorder="1" applyProtection="1">
      <protection hidden="1"/>
    </xf>
    <xf numFmtId="0" fontId="30" fillId="9" borderId="6" xfId="0" applyFont="1" applyFill="1" applyBorder="1" applyProtection="1">
      <protection hidden="1"/>
    </xf>
    <xf numFmtId="0" fontId="31" fillId="9" borderId="6" xfId="2" applyFont="1" applyFill="1" applyBorder="1" applyAlignment="1" applyProtection="1">
      <alignment horizontal="right"/>
      <protection hidden="1"/>
    </xf>
    <xf numFmtId="0" fontId="31" fillId="9" borderId="17" xfId="2" applyFont="1" applyFill="1" applyBorder="1" applyProtection="1">
      <protection hidden="1"/>
    </xf>
    <xf numFmtId="0" fontId="20" fillId="9" borderId="7" xfId="0" applyFont="1" applyFill="1" applyBorder="1" applyProtection="1">
      <protection hidden="1"/>
    </xf>
    <xf numFmtId="0" fontId="30" fillId="9" borderId="0" xfId="0" applyFont="1" applyFill="1" applyProtection="1">
      <protection hidden="1"/>
    </xf>
    <xf numFmtId="0" fontId="31" fillId="9" borderId="0" xfId="2" applyFont="1" applyFill="1" applyAlignment="1" applyProtection="1">
      <alignment horizontal="right"/>
      <protection hidden="1"/>
    </xf>
    <xf numFmtId="0" fontId="31" fillId="9" borderId="11" xfId="2" applyFont="1" applyFill="1" applyBorder="1" applyProtection="1">
      <protection hidden="1"/>
    </xf>
    <xf numFmtId="0" fontId="30" fillId="9" borderId="7" xfId="0" applyFont="1" applyFill="1" applyBorder="1" applyProtection="1">
      <protection hidden="1"/>
    </xf>
    <xf numFmtId="0" fontId="30" fillId="9" borderId="8" xfId="0" applyFont="1" applyFill="1" applyBorder="1" applyProtection="1">
      <protection hidden="1"/>
    </xf>
    <xf numFmtId="0" fontId="30" fillId="9" borderId="9" xfId="0" applyFont="1" applyFill="1" applyBorder="1" applyProtection="1">
      <protection hidden="1"/>
    </xf>
    <xf numFmtId="0" fontId="31" fillId="9" borderId="9" xfId="2" applyFont="1" applyFill="1" applyBorder="1" applyAlignment="1" applyProtection="1">
      <alignment horizontal="right"/>
      <protection hidden="1"/>
    </xf>
    <xf numFmtId="0" fontId="31" fillId="9" borderId="15" xfId="2" applyFont="1" applyFill="1" applyBorder="1" applyProtection="1">
      <protection hidden="1"/>
    </xf>
    <xf numFmtId="0" fontId="30" fillId="9" borderId="0" xfId="0" applyFont="1" applyFill="1" applyAlignment="1" applyProtection="1">
      <alignment horizontal="right"/>
      <protection hidden="1"/>
    </xf>
    <xf numFmtId="0" fontId="30" fillId="9" borderId="11" xfId="0" applyFont="1" applyFill="1" applyBorder="1" applyProtection="1">
      <protection hidden="1"/>
    </xf>
    <xf numFmtId="0" fontId="30" fillId="9" borderId="9" xfId="0" applyFont="1" applyFill="1" applyBorder="1" applyAlignment="1" applyProtection="1">
      <alignment horizontal="right"/>
      <protection hidden="1"/>
    </xf>
    <xf numFmtId="0" fontId="30" fillId="9" borderId="15" xfId="0" applyFont="1" applyFill="1" applyBorder="1" applyProtection="1">
      <protection hidden="1"/>
    </xf>
    <xf numFmtId="0" fontId="0" fillId="0" borderId="21" xfId="0" applyBorder="1"/>
    <xf numFmtId="0" fontId="0" fillId="0" borderId="22" xfId="0" applyBorder="1" applyAlignment="1">
      <alignment horizontal="center" wrapText="1"/>
    </xf>
    <xf numFmtId="0" fontId="0" fillId="0" borderId="23" xfId="0" applyBorder="1"/>
    <xf numFmtId="0" fontId="0" fillId="0" borderId="24" xfId="0" applyBorder="1"/>
    <xf numFmtId="0" fontId="0" fillId="0" borderId="27" xfId="0" applyBorder="1"/>
    <xf numFmtId="0" fontId="0" fillId="0" borderId="28" xfId="0" applyBorder="1"/>
    <xf numFmtId="0" fontId="0" fillId="14" borderId="1" xfId="0" applyFill="1" applyBorder="1"/>
    <xf numFmtId="0" fontId="0" fillId="14" borderId="28" xfId="0" applyFill="1" applyBorder="1"/>
    <xf numFmtId="0" fontId="0" fillId="0" borderId="2" xfId="0" applyBorder="1"/>
    <xf numFmtId="0" fontId="0" fillId="0" borderId="4" xfId="0" applyBorder="1"/>
    <xf numFmtId="0" fontId="0" fillId="0" borderId="29" xfId="0" applyBorder="1"/>
    <xf numFmtId="0" fontId="0" fillId="0" borderId="30" xfId="0" applyBorder="1"/>
    <xf numFmtId="0" fontId="0" fillId="0" borderId="31" xfId="0" applyBorder="1"/>
    <xf numFmtId="0" fontId="17" fillId="0" borderId="0" xfId="0" applyFont="1"/>
    <xf numFmtId="0" fontId="36" fillId="0" borderId="0" xfId="0" applyFont="1"/>
    <xf numFmtId="0" fontId="37" fillId="0" borderId="0" xfId="0" applyFont="1"/>
    <xf numFmtId="0" fontId="4" fillId="0" borderId="0" xfId="2" applyAlignment="1">
      <alignment horizontal="left"/>
    </xf>
    <xf numFmtId="0" fontId="0" fillId="15" borderId="0" xfId="0" applyFill="1"/>
    <xf numFmtId="0" fontId="4" fillId="0" borderId="9" xfId="2" applyBorder="1" applyAlignment="1">
      <alignment horizontal="left"/>
    </xf>
    <xf numFmtId="164" fontId="0" fillId="8" borderId="0" xfId="0" applyNumberFormat="1" applyFill="1"/>
    <xf numFmtId="169" fontId="0" fillId="8" borderId="0" xfId="0" applyNumberFormat="1" applyFill="1"/>
    <xf numFmtId="0" fontId="0" fillId="9" borderId="17" xfId="0" applyFill="1" applyBorder="1" applyProtection="1">
      <protection hidden="1"/>
    </xf>
    <xf numFmtId="0" fontId="0" fillId="4" borderId="20" xfId="0" applyFill="1" applyBorder="1" applyProtection="1">
      <protection locked="0" hidden="1"/>
    </xf>
    <xf numFmtId="2" fontId="0" fillId="0" borderId="20" xfId="0" applyNumberFormat="1" applyBorder="1" applyProtection="1">
      <protection hidden="1"/>
    </xf>
    <xf numFmtId="0" fontId="12" fillId="9" borderId="15" xfId="0" applyFont="1" applyFill="1" applyBorder="1" applyProtection="1">
      <protection hidden="1"/>
    </xf>
    <xf numFmtId="0" fontId="0" fillId="9" borderId="5" xfId="0" applyFill="1" applyBorder="1"/>
    <xf numFmtId="0" fontId="0" fillId="9" borderId="6" xfId="0" applyFill="1" applyBorder="1"/>
    <xf numFmtId="0" fontId="0" fillId="9" borderId="6" xfId="0" applyFill="1" applyBorder="1" applyAlignment="1">
      <alignment horizontal="right"/>
    </xf>
    <xf numFmtId="0" fontId="0" fillId="9" borderId="17" xfId="0" applyFill="1" applyBorder="1"/>
    <xf numFmtId="0" fontId="0" fillId="9" borderId="7" xfId="0" applyFill="1" applyBorder="1"/>
    <xf numFmtId="0" fontId="0" fillId="9" borderId="0" xfId="0" applyFill="1"/>
    <xf numFmtId="0" fontId="0" fillId="9" borderId="0" xfId="0" applyFill="1" applyAlignment="1">
      <alignment horizontal="right"/>
    </xf>
    <xf numFmtId="0" fontId="0" fillId="9" borderId="11" xfId="0" applyFill="1" applyBorder="1"/>
    <xf numFmtId="0" fontId="0" fillId="9" borderId="8" xfId="0" applyFill="1" applyBorder="1"/>
    <xf numFmtId="0" fontId="0" fillId="9" borderId="9" xfId="0" applyFill="1" applyBorder="1"/>
    <xf numFmtId="0" fontId="0" fillId="9" borderId="15" xfId="0" applyFill="1" applyBorder="1"/>
    <xf numFmtId="0" fontId="0" fillId="9" borderId="9" xfId="0" applyFill="1" applyBorder="1" applyAlignment="1">
      <alignment horizontal="right"/>
    </xf>
    <xf numFmtId="0" fontId="19" fillId="0" borderId="0" xfId="0" applyFont="1" applyAlignment="1">
      <alignment horizontal="center" wrapText="1"/>
    </xf>
    <xf numFmtId="0" fontId="2" fillId="0" borderId="0" xfId="0" applyFont="1"/>
    <xf numFmtId="0" fontId="22" fillId="0" borderId="0" xfId="2" applyFont="1" applyAlignment="1">
      <alignment horizontal="left"/>
    </xf>
    <xf numFmtId="0" fontId="0" fillId="16" borderId="0" xfId="0" applyFill="1"/>
    <xf numFmtId="0" fontId="0" fillId="0" borderId="0" xfId="0" applyProtection="1">
      <protection hidden="1"/>
    </xf>
    <xf numFmtId="0" fontId="0" fillId="9" borderId="7" xfId="0" applyFill="1" applyBorder="1" applyAlignment="1" applyProtection="1">
      <alignment horizontal="right"/>
      <protection hidden="1"/>
    </xf>
    <xf numFmtId="0" fontId="0" fillId="9" borderId="0" xfId="0" applyFill="1" applyAlignment="1" applyProtection="1">
      <alignment horizontal="right"/>
      <protection hidden="1"/>
    </xf>
    <xf numFmtId="0" fontId="0" fillId="9" borderId="8" xfId="0" applyFill="1" applyBorder="1" applyAlignment="1" applyProtection="1">
      <alignment horizontal="right"/>
      <protection hidden="1"/>
    </xf>
    <xf numFmtId="0" fontId="0" fillId="9" borderId="9" xfId="0" applyFill="1" applyBorder="1" applyAlignment="1" applyProtection="1">
      <alignment horizontal="right"/>
      <protection hidden="1"/>
    </xf>
    <xf numFmtId="0" fontId="17" fillId="8" borderId="0" xfId="0" applyFont="1" applyFill="1"/>
    <xf numFmtId="0" fontId="45" fillId="18" borderId="0" xfId="0" applyFont="1" applyFill="1" applyAlignment="1">
      <alignment horizontal="center"/>
    </xf>
    <xf numFmtId="0" fontId="2" fillId="9" borderId="0" xfId="0" applyFont="1" applyFill="1"/>
    <xf numFmtId="0" fontId="15" fillId="9" borderId="0" xfId="0" applyFont="1" applyFill="1"/>
    <xf numFmtId="0" fontId="0" fillId="9" borderId="17" xfId="0" applyFill="1" applyBorder="1" applyAlignment="1">
      <alignment horizontal="left" vertical="center"/>
    </xf>
    <xf numFmtId="0" fontId="0" fillId="9" borderId="6" xfId="0" applyFill="1" applyBorder="1" applyAlignment="1">
      <alignment horizontal="left" vertical="center"/>
    </xf>
    <xf numFmtId="0" fontId="0" fillId="9" borderId="6" xfId="0" applyFill="1" applyBorder="1" applyAlignment="1">
      <alignment horizontal="right" vertical="center"/>
    </xf>
    <xf numFmtId="0" fontId="0" fillId="9" borderId="0" xfId="0" applyFill="1" applyAlignment="1">
      <alignment horizontal="center"/>
    </xf>
    <xf numFmtId="0" fontId="5" fillId="2" borderId="5" xfId="1" applyFont="1" applyFill="1" applyBorder="1" applyAlignment="1">
      <alignment vertical="center"/>
    </xf>
    <xf numFmtId="0" fontId="5" fillId="2" borderId="6" xfId="1" applyFont="1" applyFill="1" applyBorder="1" applyAlignment="1">
      <alignment vertical="center"/>
    </xf>
    <xf numFmtId="0" fontId="0" fillId="2" borderId="0" xfId="0" applyFill="1"/>
    <xf numFmtId="0" fontId="5" fillId="2" borderId="0" xfId="1" applyFont="1" applyFill="1" applyAlignment="1">
      <alignment vertical="center"/>
    </xf>
    <xf numFmtId="0" fontId="0" fillId="3" borderId="0" xfId="0" applyFill="1"/>
    <xf numFmtId="0" fontId="0" fillId="3" borderId="0" xfId="0" applyFill="1" applyAlignment="1">
      <alignment horizontal="right"/>
    </xf>
    <xf numFmtId="0" fontId="0" fillId="18" borderId="0" xfId="0" applyFill="1"/>
    <xf numFmtId="0" fontId="0" fillId="18" borderId="0" xfId="0" applyFill="1" applyAlignment="1">
      <alignment horizontal="right"/>
    </xf>
    <xf numFmtId="0" fontId="34" fillId="18" borderId="0" xfId="0" applyFont="1" applyFill="1"/>
    <xf numFmtId="0" fontId="47" fillId="18" borderId="0" xfId="0" applyFont="1" applyFill="1"/>
    <xf numFmtId="0" fontId="0" fillId="9" borderId="20" xfId="0" applyFill="1" applyBorder="1"/>
    <xf numFmtId="0" fontId="0" fillId="9" borderId="16" xfId="0" applyFill="1" applyBorder="1" applyAlignment="1">
      <alignment horizontal="right" vertical="center"/>
    </xf>
    <xf numFmtId="0" fontId="0" fillId="9" borderId="14" xfId="0" applyFill="1" applyBorder="1"/>
    <xf numFmtId="1" fontId="0" fillId="9" borderId="20" xfId="0" applyNumberFormat="1" applyFill="1" applyBorder="1"/>
    <xf numFmtId="0" fontId="42" fillId="9" borderId="0" xfId="0" applyFont="1" applyFill="1" applyAlignment="1">
      <alignment horizontal="center"/>
    </xf>
    <xf numFmtId="0" fontId="40" fillId="9" borderId="0" xfId="0" applyFont="1" applyFill="1"/>
    <xf numFmtId="49" fontId="42" fillId="9" borderId="0" xfId="0" applyNumberFormat="1" applyFont="1" applyFill="1" applyAlignment="1">
      <alignment horizontal="center"/>
    </xf>
    <xf numFmtId="0" fontId="42" fillId="9" borderId="0" xfId="0" applyFont="1" applyFill="1" applyAlignment="1">
      <alignment wrapText="1"/>
    </xf>
    <xf numFmtId="0" fontId="46" fillId="9" borderId="0" xfId="3" applyFont="1" applyFill="1" applyBorder="1" applyAlignment="1">
      <alignment vertical="center"/>
    </xf>
    <xf numFmtId="0" fontId="40" fillId="9" borderId="0" xfId="0" applyFont="1" applyFill="1" applyAlignment="1">
      <alignment horizontal="center"/>
    </xf>
    <xf numFmtId="0" fontId="40" fillId="9" borderId="0" xfId="0" applyFont="1" applyFill="1" applyAlignment="1">
      <alignment horizontal="left"/>
    </xf>
    <xf numFmtId="0" fontId="41" fillId="9" borderId="0" xfId="0" applyFont="1" applyFill="1" applyAlignment="1">
      <alignment horizontal="center"/>
    </xf>
    <xf numFmtId="49" fontId="41" fillId="9" borderId="0" xfId="0" applyNumberFormat="1" applyFont="1" applyFill="1" applyAlignment="1">
      <alignment horizontal="left"/>
    </xf>
    <xf numFmtId="0" fontId="42" fillId="9" borderId="0" xfId="0" applyFont="1" applyFill="1"/>
    <xf numFmtId="0" fontId="44" fillId="9" borderId="0" xfId="3" applyFont="1" applyFill="1" applyBorder="1" applyAlignment="1">
      <alignment vertical="center"/>
    </xf>
    <xf numFmtId="0" fontId="44" fillId="9" borderId="0" xfId="3" applyFont="1" applyFill="1" applyBorder="1" applyAlignment="1">
      <alignment horizontal="right" vertical="center"/>
    </xf>
    <xf numFmtId="0" fontId="41" fillId="9" borderId="0" xfId="0" applyFont="1" applyFill="1" applyAlignment="1">
      <alignment horizontal="left"/>
    </xf>
    <xf numFmtId="0" fontId="4" fillId="9" borderId="0" xfId="0" applyFont="1" applyFill="1"/>
    <xf numFmtId="0" fontId="0" fillId="4" borderId="16" xfId="0" applyFill="1" applyBorder="1" applyProtection="1">
      <protection locked="0"/>
    </xf>
    <xf numFmtId="0" fontId="0" fillId="4" borderId="20" xfId="0" applyFill="1" applyBorder="1" applyProtection="1">
      <protection locked="0"/>
    </xf>
    <xf numFmtId="0" fontId="0" fillId="4" borderId="14" xfId="0" applyFill="1" applyBorder="1" applyProtection="1">
      <protection locked="0"/>
    </xf>
    <xf numFmtId="0" fontId="0" fillId="4" borderId="13" xfId="0" applyFill="1" applyBorder="1" applyProtection="1">
      <protection locked="0"/>
    </xf>
    <xf numFmtId="0" fontId="30" fillId="4" borderId="16" xfId="0" applyFont="1" applyFill="1" applyBorder="1" applyProtection="1">
      <protection locked="0"/>
    </xf>
    <xf numFmtId="0" fontId="30" fillId="4" borderId="20" xfId="0" applyFont="1" applyFill="1" applyBorder="1" applyProtection="1">
      <protection locked="0"/>
    </xf>
    <xf numFmtId="0" fontId="30" fillId="4" borderId="14" xfId="0" applyFont="1" applyFill="1" applyBorder="1" applyProtection="1">
      <protection locked="0"/>
    </xf>
    <xf numFmtId="2" fontId="0" fillId="9" borderId="20" xfId="0" applyNumberFormat="1" applyFill="1" applyBorder="1"/>
    <xf numFmtId="0" fontId="4" fillId="0" borderId="0" xfId="0" applyFont="1" applyAlignment="1">
      <alignment horizontal="right"/>
    </xf>
    <xf numFmtId="2" fontId="0" fillId="9" borderId="14" xfId="0" applyNumberFormat="1" applyFill="1" applyBorder="1"/>
    <xf numFmtId="2" fontId="0" fillId="0" borderId="16" xfId="0" applyNumberFormat="1" applyBorder="1"/>
    <xf numFmtId="2" fontId="0" fillId="0" borderId="20" xfId="0" applyNumberFormat="1" applyBorder="1"/>
    <xf numFmtId="2" fontId="0" fillId="0" borderId="14" xfId="0" applyNumberFormat="1" applyBorder="1" applyProtection="1">
      <protection hidden="1"/>
    </xf>
    <xf numFmtId="0" fontId="0" fillId="3" borderId="9" xfId="0" applyFill="1" applyBorder="1"/>
    <xf numFmtId="0" fontId="0" fillId="9" borderId="7" xfId="0" applyFill="1" applyBorder="1" applyAlignment="1" applyProtection="1">
      <alignment horizontal="right"/>
      <protection hidden="1"/>
    </xf>
    <xf numFmtId="0" fontId="0" fillId="9" borderId="0" xfId="0" applyFill="1" applyAlignment="1" applyProtection="1">
      <alignment horizontal="right"/>
      <protection hidden="1"/>
    </xf>
    <xf numFmtId="0" fontId="0" fillId="9" borderId="11" xfId="0" applyFill="1" applyBorder="1" applyAlignment="1" applyProtection="1">
      <alignment horizontal="right"/>
      <protection hidden="1"/>
    </xf>
    <xf numFmtId="0" fontId="0" fillId="9" borderId="8" xfId="0" applyFill="1" applyBorder="1" applyAlignment="1" applyProtection="1">
      <alignment horizontal="right"/>
      <protection hidden="1"/>
    </xf>
    <xf numFmtId="0" fontId="0" fillId="9" borderId="9" xfId="0" applyFill="1" applyBorder="1" applyAlignment="1" applyProtection="1">
      <alignment horizontal="right"/>
      <protection hidden="1"/>
    </xf>
    <xf numFmtId="0" fontId="0" fillId="9" borderId="15" xfId="0" applyFill="1" applyBorder="1" applyAlignment="1" applyProtection="1">
      <alignment horizontal="right"/>
      <protection hidden="1"/>
    </xf>
    <xf numFmtId="0" fontId="43" fillId="3" borderId="0" xfId="3" applyFill="1" applyBorder="1" applyAlignment="1" applyProtection="1">
      <alignment horizontal="center" vertical="center"/>
      <protection locked="0" hidden="1"/>
    </xf>
    <xf numFmtId="0" fontId="0" fillId="9" borderId="0" xfId="0" applyFill="1" applyAlignment="1">
      <alignment horizontal="center"/>
    </xf>
    <xf numFmtId="0" fontId="0" fillId="9" borderId="5" xfId="0" applyFill="1" applyBorder="1" applyAlignment="1" applyProtection="1">
      <alignment horizontal="right"/>
      <protection hidden="1"/>
    </xf>
    <xf numFmtId="0" fontId="0" fillId="9" borderId="6" xfId="0" applyFill="1" applyBorder="1" applyAlignment="1" applyProtection="1">
      <alignment horizontal="right"/>
      <protection hidden="1"/>
    </xf>
    <xf numFmtId="0" fontId="0" fillId="9" borderId="17" xfId="0" applyFill="1" applyBorder="1" applyAlignment="1" applyProtection="1">
      <alignment horizontal="right"/>
      <protection hidden="1"/>
    </xf>
    <xf numFmtId="0" fontId="43" fillId="3" borderId="0" xfId="3" applyFill="1" applyBorder="1" applyAlignment="1" applyProtection="1">
      <alignment horizontal="center"/>
      <protection locked="0" hidden="1"/>
    </xf>
    <xf numFmtId="0" fontId="40" fillId="0" borderId="0" xfId="0" applyFont="1" applyAlignment="1">
      <alignment horizontal="center"/>
    </xf>
    <xf numFmtId="0" fontId="40" fillId="17" borderId="0" xfId="0" applyFont="1" applyFill="1" applyAlignment="1">
      <alignment horizontal="center"/>
    </xf>
    <xf numFmtId="0" fontId="45" fillId="18" borderId="0" xfId="0" applyFont="1" applyFill="1" applyAlignment="1">
      <alignment horizontal="left"/>
    </xf>
    <xf numFmtId="0" fontId="42" fillId="9" borderId="0" xfId="0" applyFont="1" applyFill="1" applyAlignment="1">
      <alignment horizontal="left"/>
    </xf>
    <xf numFmtId="0" fontId="42" fillId="9" borderId="0" xfId="0" applyFont="1" applyFill="1" applyAlignment="1">
      <alignment wrapText="1"/>
    </xf>
    <xf numFmtId="0" fontId="0" fillId="0" borderId="22" xfId="0" applyBorder="1" applyAlignment="1">
      <alignment horizontal="center" wrapText="1"/>
    </xf>
    <xf numFmtId="0" fontId="0" fillId="0" borderId="26"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35" fillId="13" borderId="0" xfId="2" applyFont="1" applyFill="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 xfId="0" applyBorder="1" applyAlignment="1">
      <alignment horizontal="left" vertical="center"/>
    </xf>
    <xf numFmtId="0" fontId="2" fillId="0" borderId="1" xfId="0" applyFont="1" applyBorder="1" applyAlignment="1">
      <alignment horizontal="left"/>
    </xf>
    <xf numFmtId="0" fontId="0" fillId="0" borderId="0" xfId="0" applyAlignment="1">
      <alignment horizontal="center" vertical="top"/>
    </xf>
    <xf numFmtId="0" fontId="0" fillId="0" borderId="10" xfId="0" applyBorder="1" applyAlignment="1">
      <alignment horizontal="center" vertical="top"/>
    </xf>
    <xf numFmtId="0" fontId="0" fillId="0" borderId="1" xfId="0"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2" fillId="0" borderId="0" xfId="2" applyFont="1" applyAlignment="1">
      <alignment horizontal="center"/>
    </xf>
    <xf numFmtId="0" fontId="2" fillId="0" borderId="19" xfId="0" applyFont="1" applyBorder="1" applyAlignment="1">
      <alignment horizontal="center"/>
    </xf>
    <xf numFmtId="0" fontId="2" fillId="0" borderId="18" xfId="0" applyFont="1" applyBorder="1" applyAlignment="1">
      <alignment horizontal="center"/>
    </xf>
    <xf numFmtId="0" fontId="4" fillId="0" borderId="0" xfId="2" applyAlignment="1">
      <alignment horizontal="center"/>
    </xf>
    <xf numFmtId="0" fontId="0" fillId="0" borderId="0" xfId="0" applyAlignment="1">
      <alignment horizontal="center"/>
    </xf>
    <xf numFmtId="0" fontId="0" fillId="0" borderId="7" xfId="0" applyBorder="1" applyAlignment="1">
      <alignment horizontal="center"/>
    </xf>
    <xf numFmtId="0" fontId="0" fillId="0" borderId="11" xfId="0" applyBorder="1" applyAlignment="1">
      <alignment horizontal="center"/>
    </xf>
    <xf numFmtId="0" fontId="2" fillId="0" borderId="12" xfId="0" applyFont="1" applyBorder="1" applyAlignment="1">
      <alignment horizontal="center"/>
    </xf>
    <xf numFmtId="0" fontId="2" fillId="0" borderId="5" xfId="0" applyFont="1" applyBorder="1" applyAlignment="1">
      <alignment horizontal="center"/>
    </xf>
    <xf numFmtId="0" fontId="2" fillId="0" borderId="17" xfId="0" applyFon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17" xfId="0" applyBorder="1" applyAlignment="1">
      <alignment horizontal="center"/>
    </xf>
  </cellXfs>
  <cellStyles count="4">
    <cellStyle name="Lien hypertexte" xfId="3" builtinId="8"/>
    <cellStyle name="Normal" xfId="0" builtinId="0"/>
    <cellStyle name="Normal 2" xfId="2" xr:uid="{00000000-0005-0000-0000-000001000000}"/>
    <cellStyle name="Normal 4" xfId="1" xr:uid="{00000000-0005-0000-0000-000002000000}"/>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Bode Plot</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Control_Loop_Tables!$BK$19:$BK$560</c:f>
              <c:numCache>
                <c:formatCode>General</c:formatCode>
                <c:ptCount val="542"/>
                <c:pt idx="0">
                  <c:v>45.789228333658578</c:v>
                </c:pt>
                <c:pt idx="1">
                  <c:v>45.589381423643744</c:v>
                </c:pt>
                <c:pt idx="2">
                  <c:v>45.389541648553262</c:v>
                </c:pt>
                <c:pt idx="3">
                  <c:v>45.189709336996387</c:v>
                </c:pt>
                <c:pt idx="4">
                  <c:v>44.989884832341069</c:v>
                </c:pt>
                <c:pt idx="5">
                  <c:v>44.790068493340847</c:v>
                </c:pt>
                <c:pt idx="6">
                  <c:v>44.590260694784135</c:v>
                </c:pt>
                <c:pt idx="7">
                  <c:v>44.390461828169109</c:v>
                </c:pt>
                <c:pt idx="8">
                  <c:v>44.190672302399825</c:v>
                </c:pt>
                <c:pt idx="9">
                  <c:v>43.990892544508561</c:v>
                </c:pt>
                <c:pt idx="10">
                  <c:v>43.791123000403587</c:v>
                </c:pt>
                <c:pt idx="11">
                  <c:v>43.591364135641051</c:v>
                </c:pt>
                <c:pt idx="12">
                  <c:v>43.391616436222378</c:v>
                </c:pt>
                <c:pt idx="13">
                  <c:v>43.191880409418282</c:v>
                </c:pt>
                <c:pt idx="14">
                  <c:v>42.992156584618122</c:v>
                </c:pt>
                <c:pt idx="15">
                  <c:v>42.792445514205603</c:v>
                </c:pt>
                <c:pt idx="16">
                  <c:v>42.592747774460122</c:v>
                </c:pt>
                <c:pt idx="17">
                  <c:v>42.393063966484199</c:v>
                </c:pt>
                <c:pt idx="18">
                  <c:v>42.193394717156274</c:v>
                </c:pt>
                <c:pt idx="19">
                  <c:v>41.993740680109084</c:v>
                </c:pt>
                <c:pt idx="20">
                  <c:v>41.794102536732076</c:v>
                </c:pt>
                <c:pt idx="21">
                  <c:v>41.594480997198161</c:v>
                </c:pt>
                <c:pt idx="22">
                  <c:v>41.394876801514201</c:v>
                </c:pt>
                <c:pt idx="23">
                  <c:v>41.195290720591736</c:v>
                </c:pt>
                <c:pt idx="24">
                  <c:v>40.995723557339623</c:v>
                </c:pt>
                <c:pt idx="25">
                  <c:v>40.796176147775789</c:v>
                </c:pt>
                <c:pt idx="26">
                  <c:v>40.596649362155439</c:v>
                </c:pt>
                <c:pt idx="27">
                  <c:v>40.397144106114673</c:v>
                </c:pt>
                <c:pt idx="28">
                  <c:v>40.197661321826587</c:v>
                </c:pt>
                <c:pt idx="29">
                  <c:v>39.998201989167313</c:v>
                </c:pt>
                <c:pt idx="30">
                  <c:v>39.798767126888094</c:v>
                </c:pt>
                <c:pt idx="31">
                  <c:v>39.599357793790716</c:v>
                </c:pt>
                <c:pt idx="32">
                  <c:v>39.399975089901048</c:v>
                </c:pt>
                <c:pt idx="33">
                  <c:v>39.200620157637559</c:v>
                </c:pt>
                <c:pt idx="34">
                  <c:v>39.001294182967889</c:v>
                </c:pt>
                <c:pt idx="35">
                  <c:v>38.801998396549365</c:v>
                </c:pt>
                <c:pt idx="36">
                  <c:v>38.602734074846474</c:v>
                </c:pt>
                <c:pt idx="37">
                  <c:v>38.403502541218216</c:v>
                </c:pt>
                <c:pt idx="38">
                  <c:v>38.204305166967572</c:v>
                </c:pt>
                <c:pt idx="39">
                  <c:v>38.005143372346033</c:v>
                </c:pt>
                <c:pt idx="40">
                  <c:v>37.806018627501601</c:v>
                </c:pt>
                <c:pt idx="41">
                  <c:v>37.606932453362539</c:v>
                </c:pt>
                <c:pt idx="42">
                  <c:v>37.407886422445216</c:v>
                </c:pt>
                <c:pt idx="43">
                  <c:v>37.208882159573669</c:v>
                </c:pt>
                <c:pt idx="44">
                  <c:v>37.009921342498949</c:v>
                </c:pt>
                <c:pt idx="45">
                  <c:v>36.811005702404728</c:v>
                </c:pt>
                <c:pt idx="46">
                  <c:v>36.61213702428342</c:v>
                </c:pt>
                <c:pt idx="47">
                  <c:v>36.413317147168293</c:v>
                </c:pt>
                <c:pt idx="48">
                  <c:v>36.214547964204364</c:v>
                </c:pt>
                <c:pt idx="49">
                  <c:v>36.015831422539605</c:v>
                </c:pt>
                <c:pt idx="50">
                  <c:v>35.817169523018528</c:v>
                </c:pt>
                <c:pt idx="51">
                  <c:v>35.618564319657821</c:v>
                </c:pt>
                <c:pt idx="52">
                  <c:v>35.420017918882124</c:v>
                </c:pt>
                <c:pt idx="53">
                  <c:v>35.221532478499654</c:v>
                </c:pt>
                <c:pt idx="54">
                  <c:v>35.023110206392801</c:v>
                </c:pt>
                <c:pt idx="55">
                  <c:v>34.824753358901312</c:v>
                </c:pt>
                <c:pt idx="56">
                  <c:v>34.626464238871691</c:v>
                </c:pt>
                <c:pt idx="57">
                  <c:v>34.42824519334949</c:v>
                </c:pt>
                <c:pt idx="58">
                  <c:v>34.230098610886117</c:v>
                </c:pt>
                <c:pt idx="59">
                  <c:v>34.032026918435726</c:v>
                </c:pt>
                <c:pt idx="60">
                  <c:v>33.834032577814604</c:v>
                </c:pt>
                <c:pt idx="61">
                  <c:v>33.636118081696289</c:v>
                </c:pt>
                <c:pt idx="62">
                  <c:v>33.438285949117194</c:v>
                </c:pt>
                <c:pt idx="63">
                  <c:v>33.240538720465359</c:v>
                </c:pt>
                <c:pt idx="64">
                  <c:v>33.042878951929012</c:v>
                </c:pt>
                <c:pt idx="65">
                  <c:v>32.845309209381142</c:v>
                </c:pt>
                <c:pt idx="66">
                  <c:v>32.647832061677221</c:v>
                </c:pt>
                <c:pt idx="67">
                  <c:v>32.450450073348058</c:v>
                </c:pt>
                <c:pt idx="68">
                  <c:v>32.253165796669485</c:v>
                </c:pt>
                <c:pt idx="69">
                  <c:v>32.055981763096355</c:v>
                </c:pt>
                <c:pt idx="70">
                  <c:v>31.858900474049463</c:v>
                </c:pt>
                <c:pt idx="71">
                  <c:v>31.66192439105178</c:v>
                </c:pt>
                <c:pt idx="72">
                  <c:v>31.465055925211566</c:v>
                </c:pt>
                <c:pt idx="73">
                  <c:v>31.268297426058815</c:v>
                </c:pt>
                <c:pt idx="74">
                  <c:v>31.071651169746659</c:v>
                </c:pt>
                <c:pt idx="75">
                  <c:v>30.875119346635014</c:v>
                </c:pt>
                <c:pt idx="76">
                  <c:v>30.678704048284622</c:v>
                </c:pt>
                <c:pt idx="77">
                  <c:v>30.48240725389477</c:v>
                </c:pt>
                <c:pt idx="78">
                  <c:v>30.286230816228649</c:v>
                </c:pt>
                <c:pt idx="79">
                  <c:v>30.090176447079866</c:v>
                </c:pt>
                <c:pt idx="80">
                  <c:v>29.894245702342491</c:v>
                </c:pt>
                <c:pt idx="81">
                  <c:v>29.69843996675862</c:v>
                </c:pt>
                <c:pt idx="82">
                  <c:v>29.502760438427664</c:v>
                </c:pt>
                <c:pt idx="83">
                  <c:v>29.307208113171367</c:v>
                </c:pt>
                <c:pt idx="84">
                  <c:v>29.111783768860775</c:v>
                </c:pt>
                <c:pt idx="85">
                  <c:v>28.916487949822169</c:v>
                </c:pt>
                <c:pt idx="86">
                  <c:v>28.721320951445954</c:v>
                </c:pt>
                <c:pt idx="87">
                  <c:v>28.526282805137512</c:v>
                </c:pt>
                <c:pt idx="88">
                  <c:v>28.33137326375158</c:v>
                </c:pt>
                <c:pt idx="89">
                  <c:v>28.136591787665203</c:v>
                </c:pt>
                <c:pt idx="90">
                  <c:v>27.941937531645703</c:v>
                </c:pt>
                <c:pt idx="91">
                  <c:v>27.74740933267821</c:v>
                </c:pt>
                <c:pt idx="92">
                  <c:v>27.553005698918458</c:v>
                </c:pt>
                <c:pt idx="93">
                  <c:v>27.358724799938244</c:v>
                </c:pt>
                <c:pt idx="94">
                  <c:v>27.164564458427684</c:v>
                </c:pt>
                <c:pt idx="95">
                  <c:v>26.970522143518156</c:v>
                </c:pt>
                <c:pt idx="96">
                  <c:v>26.776594965878271</c:v>
                </c:pt>
                <c:pt idx="97">
                  <c:v>26.582779674729771</c:v>
                </c:pt>
                <c:pt idx="98">
                  <c:v>26.389072656915829</c:v>
                </c:pt>
                <c:pt idx="99">
                  <c:v>26.195469938140526</c:v>
                </c:pt>
                <c:pt idx="100">
                  <c:v>26.001967186478492</c:v>
                </c:pt>
                <c:pt idx="101">
                  <c:v>25.808559718235514</c:v>
                </c:pt>
                <c:pt idx="102">
                  <c:v>25.615242506216237</c:v>
                </c:pt>
                <c:pt idx="103">
                  <c:v>25.422010190429511</c:v>
                </c:pt>
                <c:pt idx="104">
                  <c:v>25.228857091237291</c:v>
                </c:pt>
                <c:pt idx="105">
                  <c:v>25.035777224920565</c:v>
                </c:pt>
                <c:pt idx="106">
                  <c:v>24.842764321610492</c:v>
                </c:pt>
                <c:pt idx="107">
                  <c:v>24.649811845498881</c:v>
                </c:pt>
                <c:pt idx="108">
                  <c:v>24.456913017214834</c:v>
                </c:pt>
                <c:pt idx="109">
                  <c:v>24.264060838223354</c:v>
                </c:pt>
                <c:pt idx="110">
                  <c:v>24.071248117074489</c:v>
                </c:pt>
                <c:pt idx="111">
                  <c:v>23.878467497304907</c:v>
                </c:pt>
                <c:pt idx="112">
                  <c:v>23.685711486768781</c:v>
                </c:pt>
                <c:pt idx="113">
                  <c:v>23.492972488155466</c:v>
                </c:pt>
                <c:pt idx="114">
                  <c:v>23.30024283043192</c:v>
                </c:pt>
                <c:pt idx="115">
                  <c:v>23.107514800935185</c:v>
                </c:pt>
                <c:pt idx="116">
                  <c:v>22.914780677829405</c:v>
                </c:pt>
                <c:pt idx="117">
                  <c:v>22.722032762636655</c:v>
                </c:pt>
                <c:pt idx="118">
                  <c:v>22.529263412549017</c:v>
                </c:pt>
                <c:pt idx="119">
                  <c:v>22.33646507223466</c:v>
                </c:pt>
                <c:pt idx="120">
                  <c:v>22.143630304854824</c:v>
                </c:pt>
                <c:pt idx="121">
                  <c:v>21.950751822025062</c:v>
                </c:pt>
                <c:pt idx="122">
                  <c:v>21.757822512465346</c:v>
                </c:pt>
                <c:pt idx="123">
                  <c:v>21.564835469107464</c:v>
                </c:pt>
                <c:pt idx="124">
                  <c:v>21.371784014446604</c:v>
                </c:pt>
                <c:pt idx="125">
                  <c:v>21.178661723953475</c:v>
                </c:pt>
                <c:pt idx="126">
                  <c:v>20.985462447386304</c:v>
                </c:pt>
                <c:pt idx="127">
                  <c:v>20.792180327875414</c:v>
                </c:pt>
                <c:pt idx="128">
                  <c:v>20.598809818679001</c:v>
                </c:pt>
                <c:pt idx="129">
                  <c:v>20.405345697540408</c:v>
                </c:pt>
                <c:pt idx="130">
                  <c:v>20.211783078609194</c:v>
                </c:pt>
                <c:pt idx="131">
                  <c:v>20.018117421913114</c:v>
                </c:pt>
                <c:pt idx="132">
                  <c:v>19.824344540399739</c:v>
                </c:pt>
                <c:pt idx="133">
                  <c:v>19.630460604590894</c:v>
                </c:pt>
                <c:pt idx="134">
                  <c:v>19.436462144918988</c:v>
                </c:pt>
                <c:pt idx="135">
                  <c:v>19.242346051832261</c:v>
                </c:pt>
                <c:pt idx="136">
                  <c:v>19.048109573781549</c:v>
                </c:pt>
                <c:pt idx="137">
                  <c:v>18.853750313210384</c:v>
                </c:pt>
                <c:pt idx="138">
                  <c:v>18.659266220691777</c:v>
                </c:pt>
                <c:pt idx="139">
                  <c:v>18.464655587356791</c:v>
                </c:pt>
                <c:pt idx="140">
                  <c:v>18.269917035778597</c:v>
                </c:pt>
                <c:pt idx="141">
                  <c:v>18.075049509470876</c:v>
                </c:pt>
                <c:pt idx="142">
                  <c:v>17.880052261169681</c:v>
                </c:pt>
                <c:pt idx="143">
                  <c:v>17.684924840064006</c:v>
                </c:pt>
                <c:pt idx="144">
                  <c:v>17.489667078140641</c:v>
                </c:pt>
                <c:pt idx="145">
                  <c:v>17.29427907580347</c:v>
                </c:pt>
                <c:pt idx="146">
                  <c:v>17.098761186923742</c:v>
                </c:pt>
                <c:pt idx="147">
                  <c:v>16.903114003468069</c:v>
                </c:pt>
                <c:pt idx="148">
                  <c:v>16.707338339846213</c:v>
                </c:pt>
                <c:pt idx="149">
                  <c:v>16.511435217108691</c:v>
                </c:pt>
                <c:pt idx="150">
                  <c:v>16.315405847115532</c:v>
                </c:pt>
                <c:pt idx="151">
                  <c:v>16.119251616786098</c:v>
                </c:pt>
                <c:pt idx="152">
                  <c:v>15.922974072532512</c:v>
                </c:pt>
                <c:pt idx="153">
                  <c:v>15.726574904961812</c:v>
                </c:pt>
                <c:pt idx="154">
                  <c:v>15.53005593393018</c:v>
                </c:pt>
                <c:pt idx="155">
                  <c:v>15.333419094012161</c:v>
                </c:pt>
                <c:pt idx="156">
                  <c:v>15.136666420447211</c:v>
                </c:pt>
                <c:pt idx="157">
                  <c:v>14.9398000356073</c:v>
                </c:pt>
                <c:pt idx="158">
                  <c:v>14.742822136027424</c:v>
                </c:pt>
                <c:pt idx="159">
                  <c:v>14.545734980027605</c:v>
                </c:pt>
                <c:pt idx="160">
                  <c:v>14.348540875947304</c:v>
                </c:pt>
                <c:pt idx="161">
                  <c:v>14.151242171009242</c:v>
                </c:pt>
                <c:pt idx="162">
                  <c:v>13.953841240817519</c:v>
                </c:pt>
                <c:pt idx="163">
                  <c:v>13.756340479493645</c:v>
                </c:pt>
                <c:pt idx="164">
                  <c:v>13.558742290445737</c:v>
                </c:pt>
                <c:pt idx="165">
                  <c:v>13.361049077762745</c:v>
                </c:pt>
                <c:pt idx="166">
                  <c:v>13.163263238220843</c:v>
                </c:pt>
                <c:pt idx="167">
                  <c:v>12.965387153884979</c:v>
                </c:pt>
                <c:pt idx="168">
                  <c:v>12.76742318528844</c:v>
                </c:pt>
                <c:pt idx="169">
                  <c:v>12.569373665165898</c:v>
                </c:pt>
                <c:pt idx="170">
                  <c:v>12.371240892718234</c:v>
                </c:pt>
                <c:pt idx="171">
                  <c:v>12.173027128382852</c:v>
                </c:pt>
                <c:pt idx="172">
                  <c:v>11.974734589083113</c:v>
                </c:pt>
                <c:pt idx="173">
                  <c:v>11.776365443929976</c:v>
                </c:pt>
                <c:pt idx="174">
                  <c:v>11.577921810347169</c:v>
                </c:pt>
                <c:pt idx="175">
                  <c:v>11.379405750592291</c:v>
                </c:pt>
                <c:pt idx="176">
                  <c:v>11.180819268646268</c:v>
                </c:pt>
                <c:pt idx="177">
                  <c:v>10.982164307441675</c:v>
                </c:pt>
                <c:pt idx="178">
                  <c:v>10.783442746404964</c:v>
                </c:pt>
                <c:pt idx="179">
                  <c:v>10.584656399282796</c:v>
                </c:pt>
                <c:pt idx="180">
                  <c:v>10.385807012228646</c:v>
                </c:pt>
                <c:pt idx="181">
                  <c:v>10.18689626212214</c:v>
                </c:pt>
                <c:pt idx="182">
                  <c:v>9.9879257550985372</c:v>
                </c:pt>
                <c:pt idx="183">
                  <c:v>9.7888970252620471</c:v>
                </c:pt>
                <c:pt idx="184">
                  <c:v>9.589811533562246</c:v>
                </c:pt>
                <c:pt idx="185">
                  <c:v>9.3906706668099247</c:v>
                </c:pt>
                <c:pt idx="186">
                  <c:v>9.1914757368126097</c:v>
                </c:pt>
                <c:pt idx="187">
                  <c:v>8.9922279796077778</c:v>
                </c:pt>
                <c:pt idx="188">
                  <c:v>8.7929285547770384</c:v>
                </c:pt>
                <c:pt idx="189">
                  <c:v>8.5935785448200193</c:v>
                </c:pt>
                <c:pt idx="190">
                  <c:v>8.394178954572908</c:v>
                </c:pt>
                <c:pt idx="191">
                  <c:v>8.194730710652955</c:v>
                </c:pt>
                <c:pt idx="192">
                  <c:v>7.9952346609139626</c:v>
                </c:pt>
                <c:pt idx="193">
                  <c:v>7.795691573897706</c:v>
                </c:pt>
                <c:pt idx="194">
                  <c:v>7.5961021382655467</c:v>
                </c:pt>
                <c:pt idx="195">
                  <c:v>7.3964669621976631</c:v>
                </c:pt>
                <c:pt idx="196">
                  <c:v>7.1967865727449878</c:v>
                </c:pt>
                <c:pt idx="197">
                  <c:v>6.9970614151227242</c:v>
                </c:pt>
                <c:pt idx="198">
                  <c:v>6.7972918519310888</c:v>
                </c:pt>
                <c:pt idx="199">
                  <c:v>6.597478162292882</c:v>
                </c:pt>
                <c:pt idx="200">
                  <c:v>6.3976205408955389</c:v>
                </c:pt>
                <c:pt idx="201">
                  <c:v>6.1977190969257858</c:v>
                </c:pt>
                <c:pt idx="202">
                  <c:v>5.9977738528871347</c:v>
                </c:pt>
                <c:pt idx="203">
                  <c:v>5.7977847432889451</c:v>
                </c:pt>
                <c:pt idx="204">
                  <c:v>5.5977516131953298</c:v>
                </c:pt>
                <c:pt idx="205">
                  <c:v>5.397674216625453</c:v>
                </c:pt>
                <c:pt idx="206">
                  <c:v>5.197552214793185</c:v>
                </c:pt>
                <c:pt idx="207">
                  <c:v>4.9973851741770972</c:v>
                </c:pt>
                <c:pt idx="208">
                  <c:v>4.7971725644099479</c:v>
                </c:pt>
                <c:pt idx="209">
                  <c:v>4.5969137559780417</c:v>
                </c:pt>
                <c:pt idx="210">
                  <c:v>4.3966080177203555</c:v>
                </c:pt>
                <c:pt idx="211">
                  <c:v>4.1962545141178555</c:v>
                </c:pt>
                <c:pt idx="212">
                  <c:v>3.9958523023622652</c:v>
                </c:pt>
                <c:pt idx="213">
                  <c:v>3.7954003291955041</c:v>
                </c:pt>
                <c:pt idx="214">
                  <c:v>3.5948974275100243</c:v>
                </c:pt>
                <c:pt idx="215">
                  <c:v>3.3943423126997176</c:v>
                </c:pt>
                <c:pt idx="216">
                  <c:v>3.1937335787526147</c:v>
                </c:pt>
                <c:pt idx="217">
                  <c:v>2.9930696940765116</c:v>
                </c:pt>
                <c:pt idx="218">
                  <c:v>2.7923489970474176</c:v>
                </c:pt>
                <c:pt idx="219">
                  <c:v>2.5915696912739588</c:v>
                </c:pt>
                <c:pt idx="220">
                  <c:v>2.3907298405681381</c:v>
                </c:pt>
                <c:pt idx="221">
                  <c:v>2.1898273636146599</c:v>
                </c:pt>
                <c:pt idx="222">
                  <c:v>1.9888600283338154</c:v>
                </c:pt>
                <c:pt idx="223">
                  <c:v>1.7878254459291141</c:v>
                </c:pt>
                <c:pt idx="224">
                  <c:v>1.5867210646154595</c:v>
                </c:pt>
                <c:pt idx="225">
                  <c:v>1.3855441630244434</c:v>
                </c:pt>
                <c:pt idx="226">
                  <c:v>1.1842918432804601</c:v>
                </c:pt>
                <c:pt idx="227">
                  <c:v>0.9829610237496933</c:v>
                </c:pt>
                <c:pt idx="228">
                  <c:v>0.78154843145925457</c:v>
                </c:pt>
                <c:pt idx="229">
                  <c:v>0.580050594187552</c:v>
                </c:pt>
                <c:pt idx="230">
                  <c:v>0.3784638322319272</c:v>
                </c:pt>
                <c:pt idx="231">
                  <c:v>0.17678424985568306</c:v>
                </c:pt>
                <c:pt idx="232">
                  <c:v>-2.4992273572829564E-2</c:v>
                </c:pt>
                <c:pt idx="233">
                  <c:v>-0.22687009274357484</c:v>
                </c:pt>
                <c:pt idx="234">
                  <c:v>-0.42885380585223731</c:v>
                </c:pt>
                <c:pt idx="235">
                  <c:v>-0.63094826431653117</c:v>
                </c:pt>
                <c:pt idx="236">
                  <c:v>-0.83315858274159416</c:v>
                </c:pt>
                <c:pt idx="237">
                  <c:v>-1.0354901491086248</c:v>
                </c:pt>
                <c:pt idx="238">
                  <c:v>-1.2379486351590254</c:v>
                </c:pt>
                <c:pt idx="239">
                  <c:v>-1.4405400069421894</c:v>
                </c:pt>
                <c:pt idx="240">
                  <c:v>-1.6432705354885777</c:v>
                </c:pt>
                <c:pt idx="241">
                  <c:v>-1.8461468075678844</c:v>
                </c:pt>
                <c:pt idx="242">
                  <c:v>-2.0491757364839591</c:v>
                </c:pt>
                <c:pt idx="243">
                  <c:v>-2.2523645728562012</c:v>
                </c:pt>
                <c:pt idx="244">
                  <c:v>-2.4557209153299513</c:v>
                </c:pt>
                <c:pt idx="245">
                  <c:v>-2.6592527211537664</c:v>
                </c:pt>
                <c:pt idx="246">
                  <c:v>-2.8629683165562083</c:v>
                </c:pt>
                <c:pt idx="247">
                  <c:v>-3.0668764068499241</c:v>
                </c:pt>
                <c:pt idx="248">
                  <c:v>-3.2709860861830569</c:v>
                </c:pt>
                <c:pt idx="249">
                  <c:v>-3.4753068468572934</c:v>
                </c:pt>
                <c:pt idx="250">
                  <c:v>-3.6798485881223209</c:v>
                </c:pt>
                <c:pt idx="251">
                  <c:v>-3.884621624353894</c:v>
                </c:pt>
                <c:pt idx="252">
                  <c:v>-4.089636692517499</c:v>
                </c:pt>
                <c:pt idx="253">
                  <c:v>-4.2949049588153843</c:v>
                </c:pt>
                <c:pt idx="254">
                  <c:v>-4.5004380244104256</c:v>
                </c:pt>
                <c:pt idx="255">
                  <c:v>-4.7062479301165459</c:v>
                </c:pt>
                <c:pt idx="256">
                  <c:v>-4.9123471599414792</c:v>
                </c:pt>
                <c:pt idx="257">
                  <c:v>-5.1187486433667351</c:v>
                </c:pt>
                <c:pt idx="258">
                  <c:v>-5.3254657562442995</c:v>
                </c:pt>
                <c:pt idx="259">
                  <c:v>-5.5325123201891655</c:v>
                </c:pt>
                <c:pt idx="260">
                  <c:v>-5.7399026003455669</c:v>
                </c:pt>
                <c:pt idx="261">
                  <c:v>-5.9476513014015993</c:v>
                </c:pt>
                <c:pt idx="262">
                  <c:v>-6.1557735617280374</c:v>
                </c:pt>
                <c:pt idx="263">
                  <c:v>-6.3642849455164106</c:v>
                </c:pt>
                <c:pt idx="264">
                  <c:v>-6.5732014327901496</c:v>
                </c:pt>
                <c:pt idx="265">
                  <c:v>-6.7825394071645206</c:v>
                </c:pt>
                <c:pt idx="266">
                  <c:v>-6.992315641231901</c:v>
                </c:pt>
                <c:pt idx="267">
                  <c:v>-7.2025472794491154</c:v>
                </c:pt>
                <c:pt idx="268">
                  <c:v>-7.413251818406672</c:v>
                </c:pt>
                <c:pt idx="269">
                  <c:v>-7.6244470843606083</c:v>
                </c:pt>
                <c:pt idx="270">
                  <c:v>-7.8361512079121143</c:v>
                </c:pt>
                <c:pt idx="271">
                  <c:v>-8.0483825957219839</c:v>
                </c:pt>
                <c:pt idx="272">
                  <c:v>-8.2611598991511315</c:v>
                </c:pt>
                <c:pt idx="273">
                  <c:v>-8.4745019797249483</c:v>
                </c:pt>
                <c:pt idx="274">
                  <c:v>-8.6884278713228387</c:v>
                </c:pt>
                <c:pt idx="275">
                  <c:v>-8.9029567390032192</c:v>
                </c:pt>
                <c:pt idx="276">
                  <c:v>-9.1181078343815365</c:v>
                </c:pt>
                <c:pt idx="277">
                  <c:v>-9.3339004474889631</c:v>
                </c:pt>
                <c:pt idx="278">
                  <c:v>-9.5503538550521956</c:v>
                </c:pt>
                <c:pt idx="279">
                  <c:v>-9.767487265146011</c:v>
                </c:pt>
                <c:pt idx="280">
                  <c:v>-9.9853197581900979</c:v>
                </c:pt>
                <c:pt idx="281">
                  <c:v>-10.203870224276191</c:v>
                </c:pt>
                <c:pt idx="282">
                  <c:v>-10.423157296835686</c:v>
                </c:pt>
                <c:pt idx="283">
                  <c:v>-10.643199282681206</c:v>
                </c:pt>
                <c:pt idx="284">
                  <c:v>-10.864014088483035</c:v>
                </c:pt>
                <c:pt idx="285">
                  <c:v>-11.08561914377181</c:v>
                </c:pt>
                <c:pt idx="286">
                  <c:v>-11.308031320593908</c:v>
                </c:pt>
                <c:pt idx="287">
                  <c:v>-11.531266849982487</c:v>
                </c:pt>
                <c:pt idx="288">
                  <c:v>-11.755341235447659</c:v>
                </c:pt>
                <c:pt idx="289">
                  <c:v>-11.980269163734699</c:v>
                </c:pt>
                <c:pt idx="290">
                  <c:v>-12.206064413144821</c:v>
                </c:pt>
                <c:pt idx="291">
                  <c:v>-12.432739759761905</c:v>
                </c:pt>
                <c:pt idx="292">
                  <c:v>-12.660306881982535</c:v>
                </c:pt>
                <c:pt idx="293">
                  <c:v>-12.888776263796784</c:v>
                </c:pt>
                <c:pt idx="294">
                  <c:v>-13.118157097324039</c:v>
                </c:pt>
                <c:pt idx="295">
                  <c:v>-13.348457185160051</c:v>
                </c:pt>
                <c:pt idx="296">
                  <c:v>-13.579682843146463</c:v>
                </c:pt>
                <c:pt idx="297">
                  <c:v>-13.811838804225376</c:v>
                </c:pt>
                <c:pt idx="298">
                  <c:v>-14.044928124090262</c:v>
                </c:pt>
                <c:pt idx="299">
                  <c:v>-14.2789520893899</c:v>
                </c:pt>
                <c:pt idx="300">
                  <c:v>-14.513910129283405</c:v>
                </c:pt>
                <c:pt idx="301">
                  <c:v>-14.749799731176175</c:v>
                </c:pt>
                <c:pt idx="302">
                  <c:v>-14.986616361496816</c:v>
                </c:pt>
                <c:pt idx="303">
                  <c:v>-15.224353392390721</c:v>
                </c:pt>
                <c:pt idx="304">
                  <c:v>-15.463002035215915</c:v>
                </c:pt>
                <c:pt idx="305">
                  <c:v>-15.702551281727892</c:v>
                </c:pt>
                <c:pt idx="306">
                  <c:v>-15.94298785382183</c:v>
                </c:pt>
                <c:pt idx="307">
                  <c:v>-16.184296162683086</c:v>
                </c:pt>
                <c:pt idx="308">
                  <c:v>-16.426458278153486</c:v>
                </c:pt>
                <c:pt idx="309">
                  <c:v>-16.669453909074161</c:v>
                </c:pt>
                <c:pt idx="310">
                  <c:v>-16.913260395302249</c:v>
                </c:pt>
                <c:pt idx="311">
                  <c:v>-17.157852712021892</c:v>
                </c:pt>
                <c:pt idx="312">
                  <c:v>-17.403203486882198</c:v>
                </c:pt>
                <c:pt idx="313">
                  <c:v>-17.649283030395075</c:v>
                </c:pt>
                <c:pt idx="314">
                  <c:v>-17.896059379913588</c:v>
                </c:pt>
                <c:pt idx="315">
                  <c:v>-18.143498357392794</c:v>
                </c:pt>
                <c:pt idx="316">
                  <c:v>-18.391563641003195</c:v>
                </c:pt>
                <c:pt idx="317">
                  <c:v>-18.640216850533232</c:v>
                </c:pt>
                <c:pt idx="318">
                  <c:v>-18.889417646377609</c:v>
                </c:pt>
                <c:pt idx="319">
                  <c:v>-19.139123841759901</c:v>
                </c:pt>
                <c:pt idx="320">
                  <c:v>-19.389291527702067</c:v>
                </c:pt>
                <c:pt idx="321">
                  <c:v>-19.639875210103035</c:v>
                </c:pt>
                <c:pt idx="322">
                  <c:v>-19.890827958154897</c:v>
                </c:pt>
                <c:pt idx="323">
                  <c:v>-20.142101563190423</c:v>
                </c:pt>
                <c:pt idx="324">
                  <c:v>-20.393646706934419</c:v>
                </c:pt>
                <c:pt idx="325">
                  <c:v>-20.645413138013105</c:v>
                </c:pt>
                <c:pt idx="326">
                  <c:v>-20.897349855478854</c:v>
                </c:pt>
                <c:pt idx="327">
                  <c:v>-21.149405298018454</c:v>
                </c:pt>
                <c:pt idx="328">
                  <c:v>-21.401527537441968</c:v>
                </c:pt>
                <c:pt idx="329">
                  <c:v>-21.653664474996038</c:v>
                </c:pt>
                <c:pt idx="330">
                  <c:v>-21.905764039006304</c:v>
                </c:pt>
                <c:pt idx="331">
                  <c:v>-22.15777438234058</c:v>
                </c:pt>
                <c:pt idx="332">
                  <c:v>-22.409644078181348</c:v>
                </c:pt>
                <c:pt idx="333">
                  <c:v>-22.661322312619788</c:v>
                </c:pt>
                <c:pt idx="334">
                  <c:v>-22.912759072619458</c:v>
                </c:pt>
                <c:pt idx="335">
                  <c:v>-23.163905327958247</c:v>
                </c:pt>
                <c:pt idx="336">
                  <c:v>-23.414713205827063</c:v>
                </c:pt>
                <c:pt idx="337">
                  <c:v>-23.665136156857159</c:v>
                </c:pt>
                <c:pt idx="338">
                  <c:v>-23.915129111447413</c:v>
                </c:pt>
                <c:pt idx="339">
                  <c:v>-24.164648625382227</c:v>
                </c:pt>
                <c:pt idx="340">
                  <c:v>-24.413653013853825</c:v>
                </c:pt>
                <c:pt idx="341">
                  <c:v>-24.662102473139949</c:v>
                </c:pt>
                <c:pt idx="342">
                  <c:v>-24.909959189323882</c:v>
                </c:pt>
                <c:pt idx="343">
                  <c:v>-25.157187433591712</c:v>
                </c:pt>
                <c:pt idx="344">
                  <c:v>-25.403753643785024</c:v>
                </c:pt>
                <c:pt idx="345">
                  <c:v>-25.649626492029793</c:v>
                </c:pt>
                <c:pt idx="346">
                  <c:v>-25.894776938408747</c:v>
                </c:pt>
                <c:pt idx="347">
                  <c:v>-26.139178270773677</c:v>
                </c:pt>
                <c:pt idx="348">
                  <c:v>-26.382806130931648</c:v>
                </c:pt>
                <c:pt idx="349">
                  <c:v>-26.625638527554205</c:v>
                </c:pt>
                <c:pt idx="350">
                  <c:v>-26.867655836273773</c:v>
                </c:pt>
                <c:pt idx="351">
                  <c:v>-27.108840787530092</c:v>
                </c:pt>
                <c:pt idx="352">
                  <c:v>-27.349178442820737</c:v>
                </c:pt>
                <c:pt idx="353">
                  <c:v>-27.588656160081339</c:v>
                </c:pt>
                <c:pt idx="354">
                  <c:v>-27.827263548992448</c:v>
                </c:pt>
                <c:pt idx="355">
                  <c:v>-28.064992417049808</c:v>
                </c:pt>
                <c:pt idx="356">
                  <c:v>-28.301836707282853</c:v>
                </c:pt>
                <c:pt idx="357">
                  <c:v>-28.537792428523566</c:v>
                </c:pt>
                <c:pt idx="358">
                  <c:v>-28.772857579143619</c:v>
                </c:pt>
                <c:pt idx="359">
                  <c:v>-29.007032065180319</c:v>
                </c:pt>
                <c:pt idx="360">
                  <c:v>-29.240317613759359</c:v>
                </c:pt>
                <c:pt idx="361">
                  <c:v>-29.472717682705763</c:v>
                </c:pt>
                <c:pt idx="362">
                  <c:v>-29.704237367208034</c:v>
                </c:pt>
                <c:pt idx="363">
                  <c:v>-29.934883304362057</c:v>
                </c:pt>
                <c:pt idx="364">
                  <c:v>-30.164663576383219</c:v>
                </c:pt>
                <c:pt idx="365">
                  <c:v>-30.393587613226916</c:v>
                </c:pt>
                <c:pt idx="366">
                  <c:v>-30.621666095307226</c:v>
                </c:pt>
                <c:pt idx="367">
                  <c:v>-30.848910856949225</c:v>
                </c:pt>
                <c:pt idx="368">
                  <c:v>-31.075334791154646</c:v>
                </c:pt>
                <c:pt idx="369">
                  <c:v>-31.300951756203503</c:v>
                </c:pt>
                <c:pt idx="370">
                  <c:v>-31.52577648455576</c:v>
                </c:pt>
                <c:pt idx="371">
                  <c:v>-31.749824494461372</c:v>
                </c:pt>
                <c:pt idx="372">
                  <c:v>-31.973112004630906</c:v>
                </c:pt>
                <c:pt idx="373">
                  <c:v>-32.195655852262881</c:v>
                </c:pt>
                <c:pt idx="374">
                  <c:v>-32.417473414675548</c:v>
                </c:pt>
                <c:pt idx="375">
                  <c:v>-32.638582534738745</c:v>
                </c:pt>
                <c:pt idx="376">
                  <c:v>-32.859001450256258</c:v>
                </c:pt>
                <c:pt idx="377">
                  <c:v>-33.078748727407515</c:v>
                </c:pt>
                <c:pt idx="378">
                  <c:v>-33.297843198315164</c:v>
                </c:pt>
                <c:pt idx="379">
                  <c:v>-33.516303902771995</c:v>
                </c:pt>
                <c:pt idx="380">
                  <c:v>-33.73415003412611</c:v>
                </c:pt>
                <c:pt idx="381">
                  <c:v>-33.951400889295826</c:v>
                </c:pt>
                <c:pt idx="382">
                  <c:v>-34.168075822858633</c:v>
                </c:pt>
                <c:pt idx="383">
                  <c:v>-34.38419420513776</c:v>
                </c:pt>
                <c:pt idx="384">
                  <c:v>-34.599775384191666</c:v>
                </c:pt>
                <c:pt idx="385">
                  <c:v>-34.814838651591458</c:v>
                </c:pt>
                <c:pt idx="386">
                  <c:v>-35.029403211864867</c:v>
                </c:pt>
                <c:pt idx="387">
                  <c:v>-35.243488155468953</c:v>
                </c:pt>
                <c:pt idx="388">
                  <c:v>-35.457112435148758</c:v>
                </c:pt>
                <c:pt idx="389">
                  <c:v>-35.670294845532325</c:v>
                </c:pt>
                <c:pt idx="390">
                  <c:v>-35.883054005809235</c:v>
                </c:pt>
                <c:pt idx="391">
                  <c:v>-36.095408345336651</c:v>
                </c:pt>
                <c:pt idx="392">
                  <c:v>-36.307376092018025</c:v>
                </c:pt>
                <c:pt idx="393">
                  <c:v>-36.518975263298685</c:v>
                </c:pt>
                <c:pt idx="394">
                  <c:v>-36.730223659626105</c:v>
                </c:pt>
                <c:pt idx="395">
                  <c:v>-36.941138860225074</c:v>
                </c:pt>
                <c:pt idx="396">
                  <c:v>-37.151738221042386</c:v>
                </c:pt>
                <c:pt idx="397">
                  <c:v>-37.362038874719708</c:v>
                </c:pt>
                <c:pt idx="398">
                  <c:v>-37.572057732459776</c:v>
                </c:pt>
                <c:pt idx="399">
                  <c:v>-37.781811487655929</c:v>
                </c:pt>
                <c:pt idx="400">
                  <c:v>-37.991316621160529</c:v>
                </c:pt>
                <c:pt idx="401">
                  <c:v>-38.200589408075864</c:v>
                </c:pt>
                <c:pt idx="402">
                  <c:v>-38.409645925956141</c:v>
                </c:pt>
                <c:pt idx="403">
                  <c:v>-38.618502064315813</c:v>
                </c:pt>
                <c:pt idx="404">
                  <c:v>-38.827173535347164</c:v>
                </c:pt>
                <c:pt idx="405">
                  <c:v>-39.035675885753804</c:v>
                </c:pt>
                <c:pt idx="406">
                  <c:v>-39.244024509617248</c:v>
                </c:pt>
                <c:pt idx="407">
                  <c:v>-39.452234662215126</c:v>
                </c:pt>
                <c:pt idx="408">
                  <c:v>-39.660321474718252</c:v>
                </c:pt>
                <c:pt idx="409">
                  <c:v>-39.868299969700487</c:v>
                </c:pt>
                <c:pt idx="410">
                  <c:v>-40.076185077395394</c:v>
                </c:pt>
                <c:pt idx="411">
                  <c:v>-40.283991652646719</c:v>
                </c:pt>
                <c:pt idx="412">
                  <c:v>-40.491734492496036</c:v>
                </c:pt>
                <c:pt idx="413">
                  <c:v>-40.699428354362041</c:v>
                </c:pt>
                <c:pt idx="414">
                  <c:v>-40.90708797476583</c:v>
                </c:pt>
                <c:pt idx="415">
                  <c:v>-41.114728088561669</c:v>
                </c:pt>
                <c:pt idx="416">
                  <c:v>-41.322363448636892</c:v>
                </c:pt>
                <c:pt idx="417">
                  <c:v>-41.530008846045362</c:v>
                </c:pt>
                <c:pt idx="418">
                  <c:v>-41.737679130543015</c:v>
                </c:pt>
                <c:pt idx="419">
                  <c:v>-41.945389231496151</c:v>
                </c:pt>
                <c:pt idx="420">
                  <c:v>-42.153154179134916</c:v>
                </c:pt>
                <c:pt idx="421">
                  <c:v>-42.360989126123826</c:v>
                </c:pt>
                <c:pt idx="422">
                  <c:v>-42.56890936942596</c:v>
                </c:pt>
                <c:pt idx="423">
                  <c:v>-42.776930372434109</c:v>
                </c:pt>
                <c:pt idx="424">
                  <c:v>-42.985067787345201</c:v>
                </c:pt>
                <c:pt idx="425">
                  <c:v>-43.193337477753047</c:v>
                </c:pt>
                <c:pt idx="426">
                  <c:v>-43.401755541433431</c:v>
                </c:pt>
                <c:pt idx="427">
                  <c:v>-43.610338333294706</c:v>
                </c:pt>
                <c:pt idx="428">
                  <c:v>-43.81910248846718</c:v>
                </c:pt>
                <c:pt idx="429">
                  <c:v>-44.028064945500844</c:v>
                </c:pt>
                <c:pt idx="430">
                  <c:v>-44.237242969638473</c:v>
                </c:pt>
                <c:pt idx="431">
                  <c:v>-44.446654176130522</c:v>
                </c:pt>
                <c:pt idx="432">
                  <c:v>-44.656316553554191</c:v>
                </c:pt>
                <c:pt idx="433">
                  <c:v>-44.866248487093927</c:v>
                </c:pt>
                <c:pt idx="434">
                  <c:v>-45.076468781739152</c:v>
                </c:pt>
                <c:pt idx="435">
                  <c:v>-45.286996685349138</c:v>
                </c:pt>
                <c:pt idx="436">
                  <c:v>-45.497851911530695</c:v>
                </c:pt>
                <c:pt idx="437">
                  <c:v>-45.709054662268343</c:v>
                </c:pt>
                <c:pt idx="438">
                  <c:v>-45.92062565024208</c:v>
                </c:pt>
                <c:pt idx="439">
                  <c:v>-46.132586120761147</c:v>
                </c:pt>
                <c:pt idx="440">
                  <c:v>-46.344957873235877</c:v>
                </c:pt>
                <c:pt idx="441">
                  <c:v>-46.557763282103068</c:v>
                </c:pt>
                <c:pt idx="442">
                  <c:v>-46.771025317112333</c:v>
                </c:pt>
                <c:pt idx="443">
                  <c:v>-46.984767562875085</c:v>
                </c:pt>
                <c:pt idx="444">
                  <c:v>-47.199014237568456</c:v>
                </c:pt>
                <c:pt idx="445">
                  <c:v>-47.413790210678812</c:v>
                </c:pt>
                <c:pt idx="446">
                  <c:v>-47.629121019662534</c:v>
                </c:pt>
                <c:pt idx="447">
                  <c:v>-47.845032885391731</c:v>
                </c:pt>
                <c:pt idx="448">
                  <c:v>-48.061552726245147</c:v>
                </c:pt>
                <c:pt idx="449">
                  <c:v>-48.278708170695708</c:v>
                </c:pt>
                <c:pt idx="450">
                  <c:v>-48.496527568239401</c:v>
                </c:pt>
                <c:pt idx="451">
                  <c:v>-48.715039998500423</c:v>
                </c:pt>
                <c:pt idx="452">
                  <c:v>-48.934275278339243</c:v>
                </c:pt>
                <c:pt idx="453">
                  <c:v>-49.154263966787546</c:v>
                </c:pt>
                <c:pt idx="454">
                  <c:v>-49.375037367621033</c:v>
                </c:pt>
                <c:pt idx="455">
                  <c:v>-49.596627529381493</c:v>
                </c:pt>
                <c:pt idx="456">
                  <c:v>-49.81906724264887</c:v>
                </c:pt>
                <c:pt idx="457">
                  <c:v>-50.042390034366697</c:v>
                </c:pt>
                <c:pt idx="458">
                  <c:v>-50.26663015901601</c:v>
                </c:pt>
                <c:pt idx="459">
                  <c:v>-50.491822586435092</c:v>
                </c:pt>
                <c:pt idx="460">
                  <c:v>-50.718002986083881</c:v>
                </c:pt>
                <c:pt idx="461">
                  <c:v>-50.945207707551276</c:v>
                </c:pt>
                <c:pt idx="462">
                  <c:v>-51.173473757112902</c:v>
                </c:pt>
                <c:pt idx="463">
                  <c:v>-51.40283877015019</c:v>
                </c:pt>
                <c:pt idx="464">
                  <c:v>-51.633340979254413</c:v>
                </c:pt>
                <c:pt idx="465">
                  <c:v>-51.865019177848957</c:v>
                </c:pt>
                <c:pt idx="466">
                  <c:v>-52.097912679183416</c:v>
                </c:pt>
                <c:pt idx="467">
                  <c:v>-52.332061270565326</c:v>
                </c:pt>
                <c:pt idx="468">
                  <c:v>-52.567505162723471</c:v>
                </c:pt>
                <c:pt idx="469">
                  <c:v>-52.804284934217584</c:v>
                </c:pt>
                <c:pt idx="470">
                  <c:v>-53.042441470840501</c:v>
                </c:pt>
                <c:pt idx="471">
                  <c:v>-53.28201589999027</c:v>
                </c:pt>
                <c:pt idx="472">
                  <c:v>-53.523049520022987</c:v>
                </c:pt>
                <c:pt idx="473">
                  <c:v>-53.765583724641218</c:v>
                </c:pt>
                <c:pt idx="474">
                  <c:v>-54.009659922409682</c:v>
                </c:pt>
                <c:pt idx="475">
                  <c:v>-54.255319451535499</c:v>
                </c:pt>
                <c:pt idx="476">
                  <c:v>-54.502603490101926</c:v>
                </c:pt>
                <c:pt idx="477">
                  <c:v>-54.751552961987926</c:v>
                </c:pt>
                <c:pt idx="478">
                  <c:v>-55.002208438762281</c:v>
                </c:pt>
                <c:pt idx="479">
                  <c:v>-55.254610037890103</c:v>
                </c:pt>
                <c:pt idx="480">
                  <c:v>-55.508797317644451</c:v>
                </c:pt>
                <c:pt idx="481">
                  <c:v>-55.764809169168885</c:v>
                </c:pt>
                <c:pt idx="482">
                  <c:v>-56.022683706185262</c:v>
                </c:pt>
                <c:pt idx="483">
                  <c:v>-56.282458152895899</c:v>
                </c:pt>
                <c:pt idx="484">
                  <c:v>-56.544168730673434</c:v>
                </c:pt>
                <c:pt idx="485">
                  <c:v>-56.807850544176048</c:v>
                </c:pt>
                <c:pt idx="486">
                  <c:v>-57.073537467565707</c:v>
                </c:pt>
                <c:pt idx="487">
                  <c:v>-57.341262031542435</c:v>
                </c:pt>
                <c:pt idx="488">
                  <c:v>-57.611055311929633</c:v>
                </c:pt>
                <c:pt idx="489">
                  <c:v>-57.882946820576038</c:v>
                </c:pt>
                <c:pt idx="490">
                  <c:v>-58.156964399343195</c:v>
                </c:pt>
                <c:pt idx="491">
                  <c:v>-58.433134117957614</c:v>
                </c:pt>
                <c:pt idx="492">
                  <c:v>-58.711480176500679</c:v>
                </c:pt>
                <c:pt idx="493">
                  <c:v>-58.992024813295778</c:v>
                </c:pt>
                <c:pt idx="494">
                  <c:v>-59.274788218928904</c:v>
                </c:pt>
                <c:pt idx="495">
                  <c:v>-59.559788457106023</c:v>
                </c:pt>
                <c:pt idx="496">
                  <c:v>-59.847041393008809</c:v>
                </c:pt>
                <c:pt idx="497">
                  <c:v>-60.13656062975754</c:v>
                </c:pt>
                <c:pt idx="498">
                  <c:v>-60.428357453532172</c:v>
                </c:pt>
                <c:pt idx="499">
                  <c:v>-60.722440787831495</c:v>
                </c:pt>
                <c:pt idx="500">
                  <c:v>-61.018817157278001</c:v>
                </c:pt>
                <c:pt idx="501">
                  <c:v>-61.317490661293512</c:v>
                </c:pt>
                <c:pt idx="502">
                  <c:v>-61.618462957884368</c:v>
                </c:pt>
                <c:pt idx="503">
                  <c:v>-61.921733257685673</c:v>
                </c:pt>
                <c:pt idx="504">
                  <c:v>-62.227298328322121</c:v>
                </c:pt>
                <c:pt idx="505">
                  <c:v>-62.535152509050754</c:v>
                </c:pt>
                <c:pt idx="506">
                  <c:v>-62.845287735555544</c:v>
                </c:pt>
                <c:pt idx="507">
                  <c:v>-63.157693574678639</c:v>
                </c:pt>
                <c:pt idx="508">
                  <c:v>-63.472357268780257</c:v>
                </c:pt>
                <c:pt idx="509">
                  <c:v>-63.789263789342563</c:v>
                </c:pt>
                <c:pt idx="510">
                  <c:v>-64.108395899350541</c:v>
                </c:pt>
                <c:pt idx="511">
                  <c:v>-64.429734223918146</c:v>
                </c:pt>
                <c:pt idx="512">
                  <c:v>-64.753257328563478</c:v>
                </c:pt>
                <c:pt idx="513">
                  <c:v>-65.078941804484145</c:v>
                </c:pt>
                <c:pt idx="514">
                  <c:v>-65.406762360138345</c:v>
                </c:pt>
                <c:pt idx="515">
                  <c:v>-65.736691918405242</c:v>
                </c:pt>
                <c:pt idx="516">
                  <c:v>-66.068701718569713</c:v>
                </c:pt>
                <c:pt idx="517">
                  <c:v>-66.402761422362261</c:v>
                </c:pt>
                <c:pt idx="518">
                  <c:v>-66.738839223278006</c:v>
                </c:pt>
                <c:pt idx="519">
                  <c:v>-67.07690195840334</c:v>
                </c:pt>
                <c:pt idx="520">
                  <c:v>-67.416915221985661</c:v>
                </c:pt>
                <c:pt idx="521">
                  <c:v>-67.758843480006149</c:v>
                </c:pt>
                <c:pt idx="522">
                  <c:v>-68.102650185036651</c:v>
                </c:pt>
                <c:pt idx="523">
                  <c:v>-68.448297890698854</c:v>
                </c:pt>
                <c:pt idx="524">
                  <c:v>-68.795748365080968</c:v>
                </c:pt>
                <c:pt idx="525">
                  <c:v>-69.144962702506774</c:v>
                </c:pt>
                <c:pt idx="526">
                  <c:v>-69.495901433104279</c:v>
                </c:pt>
                <c:pt idx="527">
                  <c:v>-69.848524629667182</c:v>
                </c:pt>
                <c:pt idx="528">
                  <c:v>-70.202792011353367</c:v>
                </c:pt>
                <c:pt idx="529">
                  <c:v>-70.558663043822477</c:v>
                </c:pt>
                <c:pt idx="530">
                  <c:v>-70.916097035458336</c:v>
                </c:pt>
                <c:pt idx="531">
                  <c:v>-71.275053229385762</c:v>
                </c:pt>
                <c:pt idx="532">
                  <c:v>-71.635490891033641</c:v>
                </c:pt>
                <c:pt idx="533">
                  <c:v>-71.997369391052629</c:v>
                </c:pt>
                <c:pt idx="534">
                  <c:v>-72.360648283439701</c:v>
                </c:pt>
                <c:pt idx="535">
                  <c:v>-72.725287378769423</c:v>
                </c:pt>
                <c:pt idx="536">
                  <c:v>-73.091246812473457</c:v>
                </c:pt>
                <c:pt idx="537">
                  <c:v>-73.458487108151758</c:v>
                </c:pt>
                <c:pt idx="538">
                  <c:v>-73.826969235930392</c:v>
                </c:pt>
                <c:pt idx="539">
                  <c:v>-74.196654665919496</c:v>
                </c:pt>
                <c:pt idx="540">
                  <c:v>-74.567505416850054</c:v>
                </c:pt>
                <c:pt idx="541">
                  <c:v>-74.939484099997799</c:v>
                </c:pt>
              </c:numCache>
            </c:numRef>
          </c:yVal>
          <c:smooth val="1"/>
          <c:extLst>
            <c:ext xmlns:c16="http://schemas.microsoft.com/office/drawing/2014/chart" uri="{C3380CC4-5D6E-409C-BE32-E72D297353CC}">
              <c16:uniqueId val="{00000000-3223-41D7-8B33-833B9B1F2597}"/>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Control_Loop_Tables!$BL$19:$BL$560</c:f>
              <c:numCache>
                <c:formatCode>General</c:formatCode>
                <c:ptCount val="542"/>
                <c:pt idx="0">
                  <c:v>90.237665651233243</c:v>
                </c:pt>
                <c:pt idx="1">
                  <c:v>90.2431270760123</c:v>
                </c:pt>
                <c:pt idx="2">
                  <c:v>90.248710424005694</c:v>
                </c:pt>
                <c:pt idx="3">
                  <c:v>90.254418161683191</c:v>
                </c:pt>
                <c:pt idx="4">
                  <c:v>90.260252786838052</c:v>
                </c:pt>
                <c:pt idx="5">
                  <c:v>90.26621682751815</c:v>
                </c:pt>
                <c:pt idx="6">
                  <c:v>90.27231284081148</c:v>
                </c:pt>
                <c:pt idx="7">
                  <c:v>90.278543411476278</c:v>
                </c:pt>
                <c:pt idx="8">
                  <c:v>90.284911150403005</c:v>
                </c:pt>
                <c:pt idx="9">
                  <c:v>90.291418692896357</c:v>
                </c:pt>
                <c:pt idx="10">
                  <c:v>90.298068696763337</c:v>
                </c:pt>
                <c:pt idx="11">
                  <c:v>90.304863840194528</c:v>
                </c:pt>
                <c:pt idx="12">
                  <c:v>90.311806819423595</c:v>
                </c:pt>
                <c:pt idx="13">
                  <c:v>90.318900346148524</c:v>
                </c:pt>
                <c:pt idx="14">
                  <c:v>90.326147144699263</c:v>
                </c:pt>
                <c:pt idx="15">
                  <c:v>90.333549948933253</c:v>
                </c:pt>
                <c:pt idx="16">
                  <c:v>90.341111498842224</c:v>
                </c:pt>
                <c:pt idx="17">
                  <c:v>90.348834536848059</c:v>
                </c:pt>
                <c:pt idx="18">
                  <c:v>90.356721803770242</c:v>
                </c:pt>
                <c:pt idx="19">
                  <c:v>90.364776034442244</c:v>
                </c:pt>
                <c:pt idx="20">
                  <c:v>90.37299995295362</c:v>
                </c:pt>
                <c:pt idx="21">
                  <c:v>90.381396267495518</c:v>
                </c:pt>
                <c:pt idx="22">
                  <c:v>90.389967664784294</c:v>
                </c:pt>
                <c:pt idx="23">
                  <c:v>90.398716804037562</c:v>
                </c:pt>
                <c:pt idx="24">
                  <c:v>90.407646310475627</c:v>
                </c:pt>
                <c:pt idx="25">
                  <c:v>90.41675876832025</c:v>
                </c:pt>
                <c:pt idx="26">
                  <c:v>90.426056713262071</c:v>
                </c:pt>
                <c:pt idx="27">
                  <c:v>90.43554262436588</c:v>
                </c:pt>
                <c:pt idx="28">
                  <c:v>90.445218915382085</c:v>
                </c:pt>
                <c:pt idx="29">
                  <c:v>90.455087925433588</c:v>
                </c:pt>
                <c:pt idx="30">
                  <c:v>90.465151909043072</c:v>
                </c:pt>
                <c:pt idx="31">
                  <c:v>90.475413025467802</c:v>
                </c:pt>
                <c:pt idx="32">
                  <c:v>90.485873327305512</c:v>
                </c:pt>
                <c:pt idx="33">
                  <c:v>90.496534748338178</c:v>
                </c:pt>
                <c:pt idx="34">
                  <c:v>90.50739909057458</c:v>
                </c:pt>
                <c:pt idx="35">
                  <c:v>90.518468010457497</c:v>
                </c:pt>
                <c:pt idx="36">
                  <c:v>90.529743004197798</c:v>
                </c:pt>
                <c:pt idx="37">
                  <c:v>90.541225392197731</c:v>
                </c:pt>
                <c:pt idx="38">
                  <c:v>90.552916302530249</c:v>
                </c:pt>
                <c:pt idx="39">
                  <c:v>90.564816653433894</c:v>
                </c:pt>
                <c:pt idx="40">
                  <c:v>90.576927134792271</c:v>
                </c:pt>
                <c:pt idx="41">
                  <c:v>90.589248188562578</c:v>
                </c:pt>
                <c:pt idx="42">
                  <c:v>90.601779988121763</c:v>
                </c:pt>
                <c:pt idx="43">
                  <c:v>90.614522416500066</c:v>
                </c:pt>
                <c:pt idx="44">
                  <c:v>90.627475043474604</c:v>
                </c:pt>
                <c:pt idx="45">
                  <c:v>90.640637101502094</c:v>
                </c:pt>
                <c:pt idx="46">
                  <c:v>90.654007460465962</c:v>
                </c:pt>
                <c:pt idx="47">
                  <c:v>90.66758460122621</c:v>
                </c:pt>
                <c:pt idx="48">
                  <c:v>90.68136658796189</c:v>
                </c:pt>
                <c:pt idx="49">
                  <c:v>90.695351039301457</c:v>
                </c:pt>
                <c:pt idx="50">
                  <c:v>90.709535098244601</c:v>
                </c:pt>
                <c:pt idx="51">
                  <c:v>90.723915400888544</c:v>
                </c:pt>
                <c:pt idx="52">
                  <c:v>90.738488043978819</c:v>
                </c:pt>
                <c:pt idx="53">
                  <c:v>90.7532485513144</c:v>
                </c:pt>
                <c:pt idx="54">
                  <c:v>90.768191839052989</c:v>
                </c:pt>
                <c:pt idx="55">
                  <c:v>90.783312179967794</c:v>
                </c:pt>
                <c:pt idx="56">
                  <c:v>90.798603166727702</c:v>
                </c:pt>
                <c:pt idx="57">
                  <c:v>90.814057674284285</c:v>
                </c:pt>
                <c:pt idx="58">
                  <c:v>90.829667821466444</c:v>
                </c:pt>
                <c:pt idx="59">
                  <c:v>90.845424931901448</c:v>
                </c:pt>
                <c:pt idx="60">
                  <c:v>90.861319494401897</c:v>
                </c:pt>
                <c:pt idx="61">
                  <c:v>90.877341122976233</c:v>
                </c:pt>
                <c:pt idx="62">
                  <c:v>90.893478516643569</c:v>
                </c:pt>
                <c:pt idx="63">
                  <c:v>90.909719419259446</c:v>
                </c:pt>
                <c:pt idx="64">
                  <c:v>90.926050579577378</c:v>
                </c:pt>
                <c:pt idx="65">
                  <c:v>90.942457711802732</c:v>
                </c:pt>
                <c:pt idx="66">
                  <c:v>90.958925456918308</c:v>
                </c:pt>
                <c:pt idx="67">
                  <c:v>90.975437345088281</c:v>
                </c:pt>
                <c:pt idx="68">
                  <c:v>90.991975759474357</c:v>
                </c:pt>
                <c:pt idx="69">
                  <c:v>91.008521901824153</c:v>
                </c:pt>
                <c:pt idx="70">
                  <c:v>91.025055760221989</c:v>
                </c:pt>
                <c:pt idx="71">
                  <c:v>91.041556079413667</c:v>
                </c:pt>
                <c:pt idx="72">
                  <c:v>91.058000334145106</c:v>
                </c:pt>
                <c:pt idx="73">
                  <c:v>91.074364705975626</c:v>
                </c:pt>
                <c:pt idx="74">
                  <c:v>91.090624064048683</c:v>
                </c:pt>
                <c:pt idx="75">
                  <c:v>91.106751950319676</c:v>
                </c:pt>
                <c:pt idx="76">
                  <c:v>91.122720569755259</c:v>
                </c:pt>
                <c:pt idx="77">
                  <c:v>91.138500786027095</c:v>
                </c:pt>
                <c:pt idx="78">
                  <c:v>91.154062123229778</c:v>
                </c:pt>
                <c:pt idx="79">
                  <c:v>91.169372774145771</c:v>
                </c:pt>
                <c:pt idx="80">
                  <c:v>91.184399615581285</c:v>
                </c:pt>
                <c:pt idx="81">
                  <c:v>91.199108231272959</c:v>
                </c:pt>
                <c:pt idx="82">
                  <c:v>91.213462942843037</c:v>
                </c:pt>
                <c:pt idx="83">
                  <c:v>91.227426849255636</c:v>
                </c:pt>
                <c:pt idx="84">
                  <c:v>91.240961875171521</c:v>
                </c:pt>
                <c:pt idx="85">
                  <c:v>91.254028828563307</c:v>
                </c:pt>
                <c:pt idx="86">
                  <c:v>91.266587467872341</c:v>
                </c:pt>
                <c:pt idx="87">
                  <c:v>91.27859657893535</c:v>
                </c:pt>
                <c:pt idx="88">
                  <c:v>91.290014061808321</c:v>
                </c:pt>
                <c:pt idx="89">
                  <c:v>91.300797027535367</c:v>
                </c:pt>
                <c:pt idx="90">
                  <c:v>91.310901904798982</c:v>
                </c:pt>
                <c:pt idx="91">
                  <c:v>91.320284556280825</c:v>
                </c:pt>
                <c:pt idx="92">
                  <c:v>91.328900404439551</c:v>
                </c:pt>
                <c:pt idx="93">
                  <c:v>91.336704566285647</c:v>
                </c:pt>
                <c:pt idx="94">
                  <c:v>91.343651996601182</c:v>
                </c:pt>
                <c:pt idx="95">
                  <c:v>91.349697638923502</c:v>
                </c:pt>
                <c:pt idx="96">
                  <c:v>91.354796583458139</c:v>
                </c:pt>
                <c:pt idx="97">
                  <c:v>91.358904230976009</c:v>
                </c:pt>
                <c:pt idx="98">
                  <c:v>91.361976461591055</c:v>
                </c:pt>
                <c:pt idx="99">
                  <c:v>91.363969807215213</c:v>
                </c:pt>
                <c:pt idx="100">
                  <c:v>91.364841626350866</c:v>
                </c:pt>
                <c:pt idx="101">
                  <c:v>91.36455027978856</c:v>
                </c:pt>
                <c:pt idx="102">
                  <c:v>91.363055305688064</c:v>
                </c:pt>
                <c:pt idx="103">
                  <c:v>91.360317592444375</c:v>
                </c:pt>
                <c:pt idx="104">
                  <c:v>91.356299547697361</c:v>
                </c:pt>
                <c:pt idx="105">
                  <c:v>91.350965261802813</c:v>
                </c:pt>
                <c:pt idx="106">
                  <c:v>91.344280664092963</c:v>
                </c:pt>
                <c:pt idx="107">
                  <c:v>91.336213670262325</c:v>
                </c:pt>
                <c:pt idx="108">
                  <c:v>91.326734319268795</c:v>
                </c:pt>
                <c:pt idx="109">
                  <c:v>91.315814898208203</c:v>
                </c:pt>
                <c:pt idx="110">
                  <c:v>91.303430053726004</c:v>
                </c:pt>
                <c:pt idx="111">
                  <c:v>91.289556888643261</c:v>
                </c:pt>
                <c:pt idx="112">
                  <c:v>91.274175042641943</c:v>
                </c:pt>
                <c:pt idx="113">
                  <c:v>91.257266755991225</c:v>
                </c:pt>
                <c:pt idx="114">
                  <c:v>91.238816915524865</c:v>
                </c:pt>
                <c:pt idx="115">
                  <c:v>91.218813082240061</c:v>
                </c:pt>
                <c:pt idx="116">
                  <c:v>91.197245500139189</c:v>
                </c:pt>
                <c:pt idx="117">
                  <c:v>91.17410708613393</c:v>
                </c:pt>
                <c:pt idx="118">
                  <c:v>91.149393401059029</c:v>
                </c:pt>
                <c:pt idx="119">
                  <c:v>91.123102602083165</c:v>
                </c:pt>
                <c:pt idx="120">
                  <c:v>91.095235376997039</c:v>
                </c:pt>
                <c:pt idx="121">
                  <c:v>91.065794861094219</c:v>
                </c:pt>
                <c:pt idx="122">
                  <c:v>91.034786537533108</c:v>
                </c:pt>
                <c:pt idx="123">
                  <c:v>91.002218122265788</c:v>
                </c:pt>
                <c:pt idx="124">
                  <c:v>90.968099434762024</c:v>
                </c:pt>
                <c:pt idx="125">
                  <c:v>90.932442255911525</c:v>
                </c:pt>
                <c:pt idx="126">
                  <c:v>90.895260174579391</c:v>
                </c:pt>
                <c:pt idx="127">
                  <c:v>90.856568424397324</c:v>
                </c:pt>
                <c:pt idx="128">
                  <c:v>90.816383712412161</c:v>
                </c:pt>
                <c:pt idx="129">
                  <c:v>90.774724041268726</c:v>
                </c:pt>
                <c:pt idx="130">
                  <c:v>90.731608526593561</c:v>
                </c:pt>
                <c:pt idx="131">
                  <c:v>90.687057211242333</c:v>
                </c:pt>
                <c:pt idx="132">
                  <c:v>90.641090878025594</c:v>
                </c:pt>
                <c:pt idx="133">
                  <c:v>90.593730862471887</c:v>
                </c:pt>
                <c:pt idx="134">
                  <c:v>90.544998867104553</c:v>
                </c:pt>
                <c:pt idx="135">
                  <c:v>90.494916778609337</c:v>
                </c:pt>
                <c:pt idx="136">
                  <c:v>90.443506489169195</c:v>
                </c:pt>
                <c:pt idx="137">
                  <c:v>90.390789723110018</c:v>
                </c:pt>
                <c:pt idx="138">
                  <c:v>90.336787869882983</c:v>
                </c:pt>
                <c:pt idx="139">
                  <c:v>90.281521824262981</c:v>
                </c:pt>
                <c:pt idx="140">
                  <c:v>90.225011834526256</c:v>
                </c:pt>
                <c:pt idx="141">
                  <c:v>90.167277359208114</c:v>
                </c:pt>
                <c:pt idx="142">
                  <c:v>90.108336932931607</c:v>
                </c:pt>
                <c:pt idx="143">
                  <c:v>90.048208041652373</c:v>
                </c:pt>
                <c:pt idx="144">
                  <c:v>89.986907007547316</c:v>
                </c:pt>
                <c:pt idx="145">
                  <c:v>89.924448883661285</c:v>
                </c:pt>
                <c:pt idx="146">
                  <c:v>89.860847358309599</c:v>
                </c:pt>
                <c:pt idx="147">
                  <c:v>89.796114669143577</c:v>
                </c:pt>
                <c:pt idx="148">
                  <c:v>89.730261526693752</c:v>
                </c:pt>
                <c:pt idx="149">
                  <c:v>89.663297047133227</c:v>
                </c:pt>
                <c:pt idx="150">
                  <c:v>89.595228693923204</c:v>
                </c:pt>
                <c:pt idx="151">
                  <c:v>89.526062227961347</c:v>
                </c:pt>
                <c:pt idx="152">
                  <c:v>89.455801665798887</c:v>
                </c:pt>
                <c:pt idx="153">
                  <c:v>89.384449245447698</c:v>
                </c:pt>
                <c:pt idx="154">
                  <c:v>89.312005399290129</c:v>
                </c:pt>
                <c:pt idx="155">
                  <c:v>89.238468733560097</c:v>
                </c:pt>
                <c:pt idx="156">
                  <c:v>89.163836013874842</c:v>
                </c:pt>
                <c:pt idx="157">
                  <c:v>89.088102156272953</c:v>
                </c:pt>
                <c:pt idx="158">
                  <c:v>89.011260223232156</c:v>
                </c:pt>
                <c:pt idx="159">
                  <c:v>88.933301424132125</c:v>
                </c:pt>
                <c:pt idx="160">
                  <c:v>88.854215119652366</c:v>
                </c:pt>
                <c:pt idx="161">
                  <c:v>88.773988829601862</c:v>
                </c:pt>
                <c:pt idx="162">
                  <c:v>88.692608243702992</c:v>
                </c:pt>
                <c:pt idx="163">
                  <c:v>88.610057234865764</c:v>
                </c:pt>
                <c:pt idx="164">
                  <c:v>88.526317874524651</c:v>
                </c:pt>
                <c:pt idx="165">
                  <c:v>88.441370449621203</c:v>
                </c:pt>
                <c:pt idx="166">
                  <c:v>88.355193480853984</c:v>
                </c:pt>
                <c:pt idx="167">
                  <c:v>88.267763741837811</c:v>
                </c:pt>
                <c:pt idx="168">
                  <c:v>88.179056278844257</c:v>
                </c:pt>
                <c:pt idx="169">
                  <c:v>88.089044430818817</c:v>
                </c:pt>
                <c:pt idx="170">
                  <c:v>87.997699849402622</c:v>
                </c:pt>
                <c:pt idx="171">
                  <c:v>87.904992518705029</c:v>
                </c:pt>
                <c:pt idx="172">
                  <c:v>87.810890774606307</c:v>
                </c:pt>
                <c:pt idx="173">
                  <c:v>87.715361323384954</c:v>
                </c:pt>
                <c:pt idx="174">
                  <c:v>87.618369259494131</c:v>
                </c:pt>
                <c:pt idx="175">
                  <c:v>87.519878082328333</c:v>
                </c:pt>
                <c:pt idx="176">
                  <c:v>87.419849711845899</c:v>
                </c:pt>
                <c:pt idx="177">
                  <c:v>87.318244502925367</c:v>
                </c:pt>
                <c:pt idx="178">
                  <c:v>87.215021258359158</c:v>
                </c:pt>
                <c:pt idx="179">
                  <c:v>87.110137240396682</c:v>
                </c:pt>
                <c:pt idx="180">
                  <c:v>87.003548180769243</c:v>
                </c:pt>
                <c:pt idx="181">
                  <c:v>86.895208289138452</c:v>
                </c:pt>
                <c:pt idx="182">
                  <c:v>86.785070259928318</c:v>
                </c:pt>
                <c:pt idx="183">
                  <c:v>86.673085277502111</c:v>
                </c:pt>
                <c:pt idx="184">
                  <c:v>86.559203019668232</c:v>
                </c:pt>
                <c:pt idx="185">
                  <c:v>86.443371659496094</c:v>
                </c:pt>
                <c:pt idx="186">
                  <c:v>86.325537865441063</c:v>
                </c:pt>
                <c:pt idx="187">
                  <c:v>86.20564679977646</c:v>
                </c:pt>
                <c:pt idx="188">
                  <c:v>86.083642115345469</c:v>
                </c:pt>
                <c:pt idx="189">
                  <c:v>85.959465950643235</c:v>
                </c:pt>
                <c:pt idx="190">
                  <c:v>85.833058923251556</c:v>
                </c:pt>
                <c:pt idx="191">
                  <c:v>85.704360121648151</c:v>
                </c:pt>
                <c:pt idx="192">
                  <c:v>85.573307095420489</c:v>
                </c:pt>
                <c:pt idx="193">
                  <c:v>85.439835843914494</c:v>
                </c:pt>
                <c:pt idx="194">
                  <c:v>85.303880803353366</c:v>
                </c:pt>
                <c:pt idx="195">
                  <c:v>85.165374832465716</c:v>
                </c:pt>
                <c:pt idx="196">
                  <c:v>85.024249196663348</c:v>
                </c:pt>
                <c:pt idx="197">
                  <c:v>84.880433550810565</c:v>
                </c:pt>
                <c:pt idx="198">
                  <c:v>84.733855920633872</c:v>
                </c:pt>
                <c:pt idx="199">
                  <c:v>84.584442682817823</c:v>
                </c:pt>
                <c:pt idx="200">
                  <c:v>84.432118543839721</c:v>
                </c:pt>
                <c:pt idx="201">
                  <c:v>84.276806517595531</c:v>
                </c:pt>
                <c:pt idx="202">
                  <c:v>84.118427901872948</c:v>
                </c:pt>
                <c:pt idx="203">
                  <c:v>83.956902253730462</c:v>
                </c:pt>
                <c:pt idx="204">
                  <c:v>83.792147363844649</c:v>
                </c:pt>
                <c:pt idx="205">
                  <c:v>83.624079229888679</c:v>
                </c:pt>
                <c:pt idx="206">
                  <c:v>83.4526120290123</c:v>
                </c:pt>
                <c:pt idx="207">
                  <c:v>83.277658089494054</c:v>
                </c:pt>
                <c:pt idx="208">
                  <c:v>83.099127861642032</c:v>
                </c:pt>
                <c:pt idx="209">
                  <c:v>82.91692988802464</c:v>
                </c:pt>
                <c:pt idx="210">
                  <c:v>82.730970773115814</c:v>
                </c:pt>
                <c:pt idx="211">
                  <c:v>82.541155152447018</c:v>
                </c:pt>
                <c:pt idx="212">
                  <c:v>82.347385661363305</c:v>
                </c:pt>
                <c:pt idx="213">
                  <c:v>82.149562903487066</c:v>
                </c:pt>
                <c:pt idx="214">
                  <c:v>81.947585418999253</c:v>
                </c:pt>
                <c:pt idx="215">
                  <c:v>81.741349652859881</c:v>
                </c:pt>
                <c:pt idx="216">
                  <c:v>81.530749923091733</c:v>
                </c:pt>
                <c:pt idx="217">
                  <c:v>81.315678389266594</c:v>
                </c:pt>
                <c:pt idx="218">
                  <c:v>81.096025021337056</c:v>
                </c:pt>
                <c:pt idx="219">
                  <c:v>80.871677568974235</c:v>
                </c:pt>
                <c:pt idx="220">
                  <c:v>80.642521531575042</c:v>
                </c:pt>
                <c:pt idx="221">
                  <c:v>80.408440129122042</c:v>
                </c:pt>
                <c:pt idx="222">
                  <c:v>80.169314274086275</c:v>
                </c:pt>
                <c:pt idx="223">
                  <c:v>79.925022544579207</c:v>
                </c:pt>
                <c:pt idx="224">
                  <c:v>79.675441158972788</c:v>
                </c:pt>
                <c:pt idx="225">
                  <c:v>79.420443952221135</c:v>
                </c:pt>
                <c:pt idx="226">
                  <c:v>79.159902354133919</c:v>
                </c:pt>
                <c:pt idx="227">
                  <c:v>78.893685369864372</c:v>
                </c:pt>
                <c:pt idx="228">
                  <c:v>78.62165956289499</c:v>
                </c:pt>
                <c:pt idx="229">
                  <c:v>78.343689040813459</c:v>
                </c:pt>
                <c:pt idx="230">
                  <c:v>78.059635444198094</c:v>
                </c:pt>
                <c:pt idx="231">
                  <c:v>77.769357938938654</c:v>
                </c:pt>
                <c:pt idx="232">
                  <c:v>77.472713212341432</c:v>
                </c:pt>
                <c:pt idx="233">
                  <c:v>77.169555473383113</c:v>
                </c:pt>
                <c:pt idx="234">
                  <c:v>76.859736457492431</c:v>
                </c:pt>
                <c:pt idx="235">
                  <c:v>76.543105436256397</c:v>
                </c:pt>
                <c:pt idx="236">
                  <c:v>76.219509232463437</c:v>
                </c:pt>
                <c:pt idx="237">
                  <c:v>75.888792240907492</c:v>
                </c:pt>
                <c:pt idx="238">
                  <c:v>75.550796455395073</c:v>
                </c:pt>
                <c:pt idx="239">
                  <c:v>75.205361502403733</c:v>
                </c:pt>
                <c:pt idx="240">
                  <c:v>74.852324681859614</c:v>
                </c:pt>
                <c:pt idx="241">
                  <c:v>74.491521015498307</c:v>
                </c:pt>
                <c:pt idx="242">
                  <c:v>74.122783303294455</c:v>
                </c:pt>
                <c:pt idx="243">
                  <c:v>73.745942188442811</c:v>
                </c:pt>
                <c:pt idx="244">
                  <c:v>73.360826231372883</c:v>
                </c:pt>
                <c:pt idx="245">
                  <c:v>72.967261993293931</c:v>
                </c:pt>
                <c:pt idx="246">
                  <c:v>72.565074129748425</c:v>
                </c:pt>
                <c:pt idx="247">
                  <c:v>72.154085494660166</c:v>
                </c:pt>
                <c:pt idx="248">
                  <c:v>71.73411725535081</c:v>
                </c:pt>
                <c:pt idx="249">
                  <c:v>71.30498901898757</c:v>
                </c:pt>
                <c:pt idx="250">
                  <c:v>70.866518970919302</c:v>
                </c:pt>
                <c:pt idx="251">
                  <c:v>70.418524025331763</c:v>
                </c:pt>
                <c:pt idx="252">
                  <c:v>69.960819988647614</c:v>
                </c:pt>
                <c:pt idx="253">
                  <c:v>69.493221736064797</c:v>
                </c:pt>
                <c:pt idx="254">
                  <c:v>69.015543401614082</c:v>
                </c:pt>
                <c:pt idx="255">
                  <c:v>68.527598582082561</c:v>
                </c:pt>
                <c:pt idx="256">
                  <c:v>68.029200555131624</c:v>
                </c:pt>
                <c:pt idx="257">
                  <c:v>67.520162511899642</c:v>
                </c:pt>
                <c:pt idx="258">
                  <c:v>67.000297804356748</c:v>
                </c:pt>
                <c:pt idx="259">
                  <c:v>66.469420207640368</c:v>
                </c:pt>
                <c:pt idx="260">
                  <c:v>65.927344197570349</c:v>
                </c:pt>
                <c:pt idx="261">
                  <c:v>65.373885243502798</c:v>
                </c:pt>
                <c:pt idx="262">
                  <c:v>64.808860116646414</c:v>
                </c:pt>
                <c:pt idx="263">
                  <c:v>64.232087213928182</c:v>
                </c:pt>
                <c:pt idx="264">
                  <c:v>63.643386897446533</c:v>
                </c:pt>
                <c:pt idx="265">
                  <c:v>63.042581849516942</c:v>
                </c:pt>
                <c:pt idx="266">
                  <c:v>62.429497443260679</c:v>
                </c:pt>
                <c:pt idx="267">
                  <c:v>61.803962128644152</c:v>
                </c:pt>
                <c:pt idx="268">
                  <c:v>61.165807833820537</c:v>
                </c:pt>
                <c:pt idx="269">
                  <c:v>60.514870381570745</c:v>
                </c:pt>
                <c:pt idx="270">
                  <c:v>59.85098992057808</c:v>
                </c:pt>
                <c:pt idx="271">
                  <c:v>59.174011371205545</c:v>
                </c:pt>
                <c:pt idx="272">
                  <c:v>58.483784885369609</c:v>
                </c:pt>
                <c:pt idx="273">
                  <c:v>57.780166320022602</c:v>
                </c:pt>
                <c:pt idx="274">
                  <c:v>57.063017723669311</c:v>
                </c:pt>
                <c:pt idx="275">
                  <c:v>56.332207835246749</c:v>
                </c:pt>
                <c:pt idx="276">
                  <c:v>55.587612594584449</c:v>
                </c:pt>
                <c:pt idx="277">
                  <c:v>54.82911566355628</c:v>
                </c:pt>
                <c:pt idx="278">
                  <c:v>54.056608956893982</c:v>
                </c:pt>
                <c:pt idx="279">
                  <c:v>53.269993181520924</c:v>
                </c:pt>
                <c:pt idx="280">
                  <c:v>52.469178383094331</c:v>
                </c:pt>
                <c:pt idx="281">
                  <c:v>51.65408449831267</c:v>
                </c:pt>
                <c:pt idx="282">
                  <c:v>50.824641911375586</c:v>
                </c:pt>
                <c:pt idx="283">
                  <c:v>49.980792012819833</c:v>
                </c:pt>
                <c:pt idx="284">
                  <c:v>49.122487758782007</c:v>
                </c:pt>
                <c:pt idx="285">
                  <c:v>48.249694228574427</c:v>
                </c:pt>
                <c:pt idx="286">
                  <c:v>47.362389178280836</c:v>
                </c:pt>
                <c:pt idx="287">
                  <c:v>46.460563587907707</c:v>
                </c:pt>
                <c:pt idx="288">
                  <c:v>45.544222199477623</c:v>
                </c:pt>
                <c:pt idx="289">
                  <c:v>44.613384043273442</c:v>
                </c:pt>
                <c:pt idx="290">
                  <c:v>43.668082949322446</c:v>
                </c:pt>
                <c:pt idx="291">
                  <c:v>42.708368041071594</c:v>
                </c:pt>
                <c:pt idx="292">
                  <c:v>41.734304208093079</c:v>
                </c:pt>
                <c:pt idx="293">
                  <c:v>40.745972554590395</c:v>
                </c:pt>
                <c:pt idx="294">
                  <c:v>39.743470820396162</c:v>
                </c:pt>
                <c:pt idx="295">
                  <c:v>38.726913771140943</c:v>
                </c:pt>
                <c:pt idx="296">
                  <c:v>37.696433554260096</c:v>
                </c:pt>
                <c:pt idx="297">
                  <c:v>36.652180017546918</c:v>
                </c:pt>
                <c:pt idx="298">
                  <c:v>35.594320987026499</c:v>
                </c:pt>
                <c:pt idx="299">
                  <c:v>34.523042501034666</c:v>
                </c:pt>
                <c:pt idx="300">
                  <c:v>33.438548997524911</c:v>
                </c:pt>
                <c:pt idx="301">
                  <c:v>32.341063451808715</c:v>
                </c:pt>
                <c:pt idx="302">
                  <c:v>31.230827462147769</c:v>
                </c:pt>
                <c:pt idx="303">
                  <c:v>30.108101280868805</c:v>
                </c:pt>
                <c:pt idx="304">
                  <c:v>28.973163788946938</c:v>
                </c:pt>
                <c:pt idx="305">
                  <c:v>27.826312412316771</c:v>
                </c:pt>
                <c:pt idx="306">
                  <c:v>26.667862978503873</c:v>
                </c:pt>
                <c:pt idx="307">
                  <c:v>25.498149512518797</c:v>
                </c:pt>
                <c:pt idx="308">
                  <c:v>24.317523971329752</c:v>
                </c:pt>
                <c:pt idx="309">
                  <c:v>23.126355916611011</c:v>
                </c:pt>
                <c:pt idx="310">
                  <c:v>21.925032125841124</c:v>
                </c:pt>
                <c:pt idx="311">
                  <c:v>20.713956142223225</c:v>
                </c:pt>
                <c:pt idx="312">
                  <c:v>19.493547764264196</c:v>
                </c:pt>
                <c:pt idx="313">
                  <c:v>18.264242476234291</c:v>
                </c:pt>
                <c:pt idx="314">
                  <c:v>17.026490821070603</c:v>
                </c:pt>
                <c:pt idx="315">
                  <c:v>15.780757717631236</c:v>
                </c:pt>
                <c:pt idx="316">
                  <c:v>14.527521724514809</c:v>
                </c:pt>
                <c:pt idx="317">
                  <c:v>13.267274252954374</c:v>
                </c:pt>
                <c:pt idx="318">
                  <c:v>12.000518731544387</c:v>
                </c:pt>
                <c:pt idx="319">
                  <c:v>10.727769725807818</c:v>
                </c:pt>
                <c:pt idx="320">
                  <c:v>9.4495520157938593</c:v>
                </c:pt>
                <c:pt idx="321">
                  <c:v>8.1663996350980188</c:v>
                </c:pt>
                <c:pt idx="322">
                  <c:v>6.8788548748184555</c:v>
                </c:pt>
                <c:pt idx="323">
                  <c:v>5.5874672561083321</c:v>
                </c:pt>
                <c:pt idx="324">
                  <c:v>4.2927924750705806</c:v>
                </c:pt>
                <c:pt idx="325">
                  <c:v>2.9953913238313388</c:v>
                </c:pt>
                <c:pt idx="326">
                  <c:v>1.6958285916917228</c:v>
                </c:pt>
                <c:pt idx="327">
                  <c:v>0.39467195029137719</c:v>
                </c:pt>
                <c:pt idx="328">
                  <c:v>-0.90750917322190949</c:v>
                </c:pt>
                <c:pt idx="329">
                  <c:v>-2.2101447310228219</c:v>
                </c:pt>
                <c:pt idx="330">
                  <c:v>-3.5126651934027007</c:v>
                </c:pt>
                <c:pt idx="331">
                  <c:v>-4.8145026875032313</c:v>
                </c:pt>
                <c:pt idx="332">
                  <c:v>-6.1150921319425224</c:v>
                </c:pt>
                <c:pt idx="333">
                  <c:v>-7.4138723633054049</c:v>
                </c:pt>
                <c:pt idx="334">
                  <c:v>-8.7102872504644733</c:v>
                </c:pt>
                <c:pt idx="335">
                  <c:v>-10.003786792730322</c:v>
                </c:pt>
                <c:pt idx="336">
                  <c:v>-11.293828197844356</c:v>
                </c:pt>
                <c:pt idx="337">
                  <c:v>-12.579876935890448</c:v>
                </c:pt>
                <c:pt idx="338">
                  <c:v>-13.861407765232725</c:v>
                </c:pt>
                <c:pt idx="339">
                  <c:v>-15.137905726683011</c:v>
                </c:pt>
                <c:pt idx="340">
                  <c:v>-16.408867102186768</c:v>
                </c:pt>
                <c:pt idx="341">
                  <c:v>-17.673800334445737</c:v>
                </c:pt>
                <c:pt idx="342">
                  <c:v>-18.932226904030266</c:v>
                </c:pt>
                <c:pt idx="343">
                  <c:v>-20.183682160710596</c:v>
                </c:pt>
                <c:pt idx="344">
                  <c:v>-21.427716105954204</c:v>
                </c:pt>
                <c:pt idx="345">
                  <c:v>-22.663894123738288</c:v>
                </c:pt>
                <c:pt idx="346">
                  <c:v>-23.891797657118069</c:v>
                </c:pt>
                <c:pt idx="347">
                  <c:v>-25.111024828254642</c:v>
                </c:pt>
                <c:pt idx="348">
                  <c:v>-26.321190999940725</c:v>
                </c:pt>
                <c:pt idx="349">
                  <c:v>-27.52192927698837</c:v>
                </c:pt>
                <c:pt idx="350">
                  <c:v>-28.712890946200371</c:v>
                </c:pt>
                <c:pt idx="351">
                  <c:v>-29.893745854031739</c:v>
                </c:pt>
                <c:pt idx="352">
                  <c:v>-31.064182721421702</c:v>
                </c:pt>
                <c:pt idx="353">
                  <c:v>-32.223909395671321</c:v>
                </c:pt>
                <c:pt idx="354">
                  <c:v>-33.372653039644064</c:v>
                </c:pt>
                <c:pt idx="355">
                  <c:v>-34.510160258934484</c:v>
                </c:pt>
                <c:pt idx="356">
                  <c:v>-35.63619716806226</c:v>
                </c:pt>
                <c:pt idx="357">
                  <c:v>-36.750549397078913</c:v>
                </c:pt>
                <c:pt idx="358">
                  <c:v>-37.853022040353871</c:v>
                </c:pt>
                <c:pt idx="359">
                  <c:v>-38.943439549606353</c:v>
                </c:pt>
                <c:pt idx="360">
                  <c:v>-40.021645573563156</c:v>
                </c:pt>
                <c:pt idx="361">
                  <c:v>-41.087502746879849</c:v>
                </c:pt>
                <c:pt idx="362">
                  <c:v>-42.140892431201173</c:v>
                </c:pt>
                <c:pt idx="363">
                  <c:v>-43.181714411437937</c:v>
                </c:pt>
                <c:pt idx="364">
                  <c:v>-44.209886550496194</c:v>
                </c:pt>
                <c:pt idx="365">
                  <c:v>-45.225344405828665</c:v>
                </c:pt>
                <c:pt idx="366">
                  <c:v>-46.228040811271221</c:v>
                </c:pt>
                <c:pt idx="367">
                  <c:v>-47.217945427673307</c:v>
                </c:pt>
                <c:pt idx="368">
                  <c:v>-48.19504426586834</c:v>
                </c:pt>
                <c:pt idx="369">
                  <c:v>-49.15933918551125</c:v>
                </c:pt>
                <c:pt idx="370">
                  <c:v>-50.110847373267859</c:v>
                </c:pt>
                <c:pt idx="371">
                  <c:v>-51.049600803784323</c:v>
                </c:pt>
                <c:pt idx="372">
                  <c:v>-51.975645686757289</c:v>
                </c:pt>
                <c:pt idx="373">
                  <c:v>-52.889041903319644</c:v>
                </c:pt>
                <c:pt idx="374">
                  <c:v>-53.789862434818772</c:v>
                </c:pt>
                <c:pt idx="375">
                  <c:v>-54.678192786908809</c:v>
                </c:pt>
                <c:pt idx="376">
                  <c:v>-55.554130411720415</c:v>
                </c:pt>
                <c:pt idx="377">
                  <c:v>-56.417784130690798</c:v>
                </c:pt>
                <c:pt idx="378">
                  <c:v>-57.269273560454771</c:v>
                </c:pt>
                <c:pt idx="379">
                  <c:v>-58.108728544006112</c:v>
                </c:pt>
                <c:pt idx="380">
                  <c:v>-58.936288589156383</c:v>
                </c:pt>
                <c:pt idx="381">
                  <c:v>-59.75210231611392</c:v>
                </c:pt>
                <c:pt idx="382">
                  <c:v>-60.556326915822538</c:v>
                </c:pt>
                <c:pt idx="383">
                  <c:v>-61.349127620514814</c:v>
                </c:pt>
                <c:pt idx="384">
                  <c:v>-62.130677187742947</c:v>
                </c:pt>
                <c:pt idx="385">
                  <c:v>-62.901155398983441</c:v>
                </c:pt>
                <c:pt idx="386">
                  <c:v>-63.660748573737628</c:v>
                </c:pt>
                <c:pt idx="387">
                  <c:v>-64.409649099889521</c:v>
                </c:pt>
                <c:pt idx="388">
                  <c:v>-65.148054980931633</c:v>
                </c:pt>
                <c:pt idx="389">
                  <c:v>-65.876169400524532</c:v>
                </c:pt>
                <c:pt idx="390">
                  <c:v>-66.594200304722463</c:v>
                </c:pt>
                <c:pt idx="391">
                  <c:v>-67.302360002076526</c:v>
                </c:pt>
                <c:pt idx="392">
                  <c:v>-68.000864781706611</c:v>
                </c:pt>
                <c:pt idx="393">
                  <c:v>-68.689934549334851</c:v>
                </c:pt>
                <c:pt idx="394">
                  <c:v>-69.369792481175807</c:v>
                </c:pt>
                <c:pt idx="395">
                  <c:v>-70.04066469549106</c:v>
                </c:pt>
                <c:pt idx="396">
                  <c:v>-70.702779941542204</c:v>
                </c:pt>
                <c:pt idx="397">
                  <c:v>-71.356369305605284</c:v>
                </c:pt>
                <c:pt idx="398">
                  <c:v>-72.001665933649264</c:v>
                </c:pt>
                <c:pt idx="399">
                  <c:v>-72.638904770230369</c:v>
                </c:pt>
                <c:pt idx="400">
                  <c:v>-73.268322313104164</c:v>
                </c:pt>
                <c:pt idx="401">
                  <c:v>-73.890156383021349</c:v>
                </c:pt>
                <c:pt idx="402">
                  <c:v>-74.504645908137746</c:v>
                </c:pt>
                <c:pt idx="403">
                  <c:v>-75.112030722441659</c:v>
                </c:pt>
                <c:pt idx="404">
                  <c:v>-75.712551377577881</c:v>
                </c:pt>
                <c:pt idx="405">
                  <c:v>-76.306448967429844</c:v>
                </c:pt>
                <c:pt idx="406">
                  <c:v>-76.893964964807338</c:v>
                </c:pt>
                <c:pt idx="407">
                  <c:v>-77.475341069572963</c:v>
                </c:pt>
                <c:pt idx="408">
                  <c:v>-78.050819067538612</c:v>
                </c:pt>
                <c:pt idx="409">
                  <c:v>-78.620640699450718</c:v>
                </c:pt>
                <c:pt idx="410">
                  <c:v>-79.185047539387199</c:v>
                </c:pt>
                <c:pt idx="411">
                  <c:v>-79.744280881882005</c:v>
                </c:pt>
                <c:pt idx="412">
                  <c:v>-80.298581637099119</c:v>
                </c:pt>
                <c:pt idx="413">
                  <c:v>-80.848190233376272</c:v>
                </c:pt>
                <c:pt idx="414">
                  <c:v>-81.393346526464029</c:v>
                </c:pt>
                <c:pt idx="415">
                  <c:v>-81.93428971478906</c:v>
                </c:pt>
                <c:pt idx="416">
                  <c:v>-82.471258260076127</c:v>
                </c:pt>
                <c:pt idx="417">
                  <c:v>-83.004489812666549</c:v>
                </c:pt>
                <c:pt idx="418">
                  <c:v>-83.534221140879069</c:v>
                </c:pt>
                <c:pt idx="419">
                  <c:v>-84.060688063762129</c:v>
                </c:pt>
                <c:pt idx="420">
                  <c:v>-84.584125386593996</c:v>
                </c:pt>
                <c:pt idx="421">
                  <c:v>-85.104766838492679</c:v>
                </c:pt>
                <c:pt idx="422">
                  <c:v>-85.62284501149999</c:v>
                </c:pt>
                <c:pt idx="423">
                  <c:v>-86.138591300516154</c:v>
                </c:pt>
                <c:pt idx="424">
                  <c:v>-86.652235843457547</c:v>
                </c:pt>
                <c:pt idx="425">
                  <c:v>-87.164007461022976</c:v>
                </c:pt>
                <c:pt idx="426">
                  <c:v>-87.6741335954557</c:v>
                </c:pt>
                <c:pt idx="427">
                  <c:v>-88.182840247689313</c:v>
                </c:pt>
                <c:pt idx="428">
                  <c:v>-88.690351912276441</c:v>
                </c:pt>
                <c:pt idx="429">
                  <c:v>-89.196891509503558</c:v>
                </c:pt>
                <c:pt idx="430">
                  <c:v>-89.702680314090514</c:v>
                </c:pt>
                <c:pt idx="431">
                  <c:v>-90.20793787989372</c:v>
                </c:pt>
                <c:pt idx="432">
                  <c:v>-90.712881960022685</c:v>
                </c:pt>
                <c:pt idx="433">
                  <c:v>-91.217728421798398</c:v>
                </c:pt>
                <c:pt idx="434">
                  <c:v>-91.72269115597895</c:v>
                </c:pt>
                <c:pt idx="435">
                  <c:v>-92.227981979692288</c:v>
                </c:pt>
                <c:pt idx="436">
                  <c:v>-92.733810532525212</c:v>
                </c:pt>
                <c:pt idx="437">
                  <c:v>-93.240384165224683</c:v>
                </c:pt>
                <c:pt idx="438">
                  <c:v>-93.747907820485494</c:v>
                </c:pt>
                <c:pt idx="439">
                  <c:v>-94.256583905312041</c:v>
                </c:pt>
                <c:pt idx="440">
                  <c:v>-94.766612154457889</c:v>
                </c:pt>
                <c:pt idx="441">
                  <c:v>-95.278189484472477</c:v>
                </c:pt>
                <c:pt idx="442">
                  <c:v>-95.791509837904613</c:v>
                </c:pt>
                <c:pt idx="443">
                  <c:v>-96.306764017242457</c:v>
                </c:pt>
                <c:pt idx="444">
                  <c:v>-96.824139508202421</c:v>
                </c:pt>
                <c:pt idx="445">
                  <c:v>-97.343820292017924</c:v>
                </c:pt>
                <c:pt idx="446">
                  <c:v>-97.86598664641599</c:v>
                </c:pt>
                <c:pt idx="447">
                  <c:v>-98.390814935026043</c:v>
                </c:pt>
                <c:pt idx="448">
                  <c:v>-98.918477385011187</c:v>
                </c:pt>
                <c:pt idx="449">
                  <c:v>-99.449141852778411</c:v>
                </c:pt>
                <c:pt idx="450">
                  <c:v>-99.982971577689213</c:v>
                </c:pt>
                <c:pt idx="451">
                  <c:v>-100.52012492376446</c:v>
                </c:pt>
                <c:pt idx="452">
                  <c:v>-101.06075510946611</c:v>
                </c:pt>
                <c:pt idx="453">
                  <c:v>-101.60500992572264</c:v>
                </c:pt>
                <c:pt idx="454">
                  <c:v>-102.15303144246286</c:v>
                </c:pt>
                <c:pt idx="455">
                  <c:v>-102.70495570403862</c:v>
                </c:pt>
                <c:pt idx="456">
                  <c:v>-103.26091241401679</c:v>
                </c:pt>
                <c:pt idx="457">
                  <c:v>-103.82102460996018</c:v>
                </c:pt>
                <c:pt idx="458">
                  <c:v>-104.38540832893838</c:v>
                </c:pt>
                <c:pt idx="459">
                  <c:v>-104.95417226465058</c:v>
                </c:pt>
                <c:pt idx="460">
                  <c:v>-105.52741741719424</c:v>
                </c:pt>
                <c:pt idx="461">
                  <c:v>-106.10523673665871</c:v>
                </c:pt>
                <c:pt idx="462">
                  <c:v>-106.68771476189089</c:v>
                </c:pt>
                <c:pt idx="463">
                  <c:v>-107.27492725593879</c:v>
                </c:pt>
                <c:pt idx="464">
                  <c:v>-107.86694083984756</c:v>
                </c:pt>
                <c:pt idx="465">
                  <c:v>-108.46381262665204</c:v>
                </c:pt>
                <c:pt idx="466">
                  <c:v>-109.06558985758167</c:v>
                </c:pt>
                <c:pt idx="467">
                  <c:v>-109.67230954266104</c:v>
                </c:pt>
                <c:pt idx="468">
                  <c:v>-110.28399810804714</c:v>
                </c:pt>
                <c:pt idx="469">
                  <c:v>-110.90067105261581</c:v>
                </c:pt>
                <c:pt idx="470">
                  <c:v>-111.52233261644136</c:v>
                </c:pt>
                <c:pt idx="471">
                  <c:v>-112.14897546396134</c:v>
                </c:pt>
                <c:pt idx="472">
                  <c:v>-112.78058038473313</c:v>
                </c:pt>
                <c:pt idx="473">
                  <c:v>-113.41711601479533</c:v>
                </c:pt>
                <c:pt idx="474">
                  <c:v>-114.05853858171913</c:v>
                </c:pt>
                <c:pt idx="475">
                  <c:v>-114.7047916765034</c:v>
                </c:pt>
                <c:pt idx="476">
                  <c:v>-115.35580605547605</c:v>
                </c:pt>
                <c:pt idx="477">
                  <c:v>-116.01149947537965</c:v>
                </c:pt>
                <c:pt idx="478">
                  <c:v>-116.67177656476028</c:v>
                </c:pt>
                <c:pt idx="479">
                  <c:v>-117.33652873471372</c:v>
                </c:pt>
                <c:pt idx="480">
                  <c:v>-118.00563413192684</c:v>
                </c:pt>
                <c:pt idx="481">
                  <c:v>-118.67895763678419</c:v>
                </c:pt>
                <c:pt idx="482">
                  <c:v>-119.35635090912133</c:v>
                </c:pt>
                <c:pt idx="483">
                  <c:v>-120.03765248395477</c:v>
                </c:pt>
                <c:pt idx="484">
                  <c:v>-120.72268791923028</c:v>
                </c:pt>
                <c:pt idx="485">
                  <c:v>-121.4112699973108</c:v>
                </c:pt>
                <c:pt idx="486">
                  <c:v>-122.1031989815384</c:v>
                </c:pt>
                <c:pt idx="487">
                  <c:v>-122.79826292881722</c:v>
                </c:pt>
                <c:pt idx="488">
                  <c:v>-123.49623805869675</c:v>
                </c:pt>
                <c:pt idx="489">
                  <c:v>-124.19688917898424</c:v>
                </c:pt>
                <c:pt idx="490">
                  <c:v>-124.89997016740094</c:v>
                </c:pt>
                <c:pt idx="491">
                  <c:v>-125.60522450828434</c:v>
                </c:pt>
                <c:pt idx="492">
                  <c:v>-126.31238588281529</c:v>
                </c:pt>
                <c:pt idx="493">
                  <c:v>-127.02117881070457</c:v>
                </c:pt>
                <c:pt idx="494">
                  <c:v>-127.73131934075224</c:v>
                </c:pt>
                <c:pt idx="495">
                  <c:v>-128.44251578717055</c:v>
                </c:pt>
                <c:pt idx="496">
                  <c:v>-129.15446950806751</c:v>
                </c:pt>
                <c:pt idx="497">
                  <c:v>-129.86687572201021</c:v>
                </c:pt>
                <c:pt idx="498">
                  <c:v>-130.57942435816307</c:v>
                </c:pt>
                <c:pt idx="499">
                  <c:v>-131.29180093510712</c:v>
                </c:pt>
                <c:pt idx="500">
                  <c:v>-132.00368746309954</c:v>
                </c:pt>
                <c:pt idx="501">
                  <c:v>-132.71476336426858</c:v>
                </c:pt>
                <c:pt idx="502">
                  <c:v>-133.42470640500852</c:v>
                </c:pt>
                <c:pt idx="503">
                  <c:v>-134.13319363470345</c:v>
                </c:pt>
                <c:pt idx="504">
                  <c:v>-134.83990232481406</c:v>
                </c:pt>
                <c:pt idx="505">
                  <c:v>-135.54451090236935</c:v>
                </c:pt>
                <c:pt idx="506">
                  <c:v>-136.24669987195989</c:v>
                </c:pt>
                <c:pt idx="507">
                  <c:v>-136.94615272045903</c:v>
                </c:pt>
                <c:pt idx="508">
                  <c:v>-137.64255679891482</c:v>
                </c:pt>
                <c:pt idx="509">
                  <c:v>-138.33560417630619</c:v>
                </c:pt>
                <c:pt idx="510">
                  <c:v>-139.02499246018951</c:v>
                </c:pt>
                <c:pt idx="511">
                  <c:v>-139.71042557963585</c:v>
                </c:pt>
                <c:pt idx="512">
                  <c:v>-140.39161452628625</c:v>
                </c:pt>
                <c:pt idx="513">
                  <c:v>-141.06827804981407</c:v>
                </c:pt>
                <c:pt idx="514">
                  <c:v>-141.74014330456495</c:v>
                </c:pt>
                <c:pt idx="515">
                  <c:v>-142.40694644468246</c:v>
                </c:pt>
                <c:pt idx="516">
                  <c:v>-143.06843316553068</c:v>
                </c:pt>
                <c:pt idx="517">
                  <c:v>-143.72435918977544</c:v>
                </c:pt>
                <c:pt idx="518">
                  <c:v>-144.3744906970087</c:v>
                </c:pt>
                <c:pt idx="519">
                  <c:v>-145.01860469632643</c:v>
                </c:pt>
                <c:pt idx="520">
                  <c:v>-145.65648934176588</c:v>
                </c:pt>
                <c:pt idx="521">
                  <c:v>-146.28794419099896</c:v>
                </c:pt>
                <c:pt idx="522">
                  <c:v>-146.91278040811426</c:v>
                </c:pt>
                <c:pt idx="523">
                  <c:v>-147.53082091175517</c:v>
                </c:pt>
                <c:pt idx="524">
                  <c:v>-148.14190047024439</c:v>
                </c:pt>
                <c:pt idx="525">
                  <c:v>-148.74586574567343</c:v>
                </c:pt>
                <c:pt idx="526">
                  <c:v>-149.34257528923385</c:v>
                </c:pt>
                <c:pt idx="527">
                  <c:v>-149.93189949031532</c:v>
                </c:pt>
                <c:pt idx="528">
                  <c:v>-150.51372048210874</c:v>
                </c:pt>
                <c:pt idx="529">
                  <c:v>-151.08793200662726</c:v>
                </c:pt>
                <c:pt idx="530">
                  <c:v>-151.65443924216646</c:v>
                </c:pt>
                <c:pt idx="531">
                  <c:v>-152.21315859633449</c:v>
                </c:pt>
                <c:pt idx="532">
                  <c:v>-152.76401746781048</c:v>
                </c:pt>
                <c:pt idx="533">
                  <c:v>-153.30695398001396</c:v>
                </c:pt>
                <c:pt idx="534">
                  <c:v>-153.84191668984781</c:v>
                </c:pt>
                <c:pt idx="535">
                  <c:v>-154.36886427462298</c:v>
                </c:pt>
                <c:pt idx="536">
                  <c:v>-154.88776520020636</c:v>
                </c:pt>
                <c:pt idx="537">
                  <c:v>-155.39859737333518</c:v>
                </c:pt>
                <c:pt idx="538">
                  <c:v>-155.90134778091846</c:v>
                </c:pt>
                <c:pt idx="539">
                  <c:v>-156.39601211902809</c:v>
                </c:pt>
                <c:pt idx="540">
                  <c:v>-156.88259441412077</c:v>
                </c:pt>
                <c:pt idx="541">
                  <c:v>-157.3611066388963</c:v>
                </c:pt>
              </c:numCache>
            </c:numRef>
          </c:yVal>
          <c:smooth val="1"/>
          <c:extLst>
            <c:ext xmlns:c16="http://schemas.microsoft.com/office/drawing/2014/chart" uri="{C3380CC4-5D6E-409C-BE32-E72D297353CC}">
              <c16:uniqueId val="{00000001-3223-41D7-8B33-833B9B1F2597}"/>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0000000003"/>
          <c:min val="10"/>
        </c:scaling>
        <c:delete val="0"/>
        <c:axPos val="b"/>
        <c:minorGridlines/>
        <c:title>
          <c:tx>
            <c:rich>
              <a:bodyPr/>
              <a:lstStyle/>
              <a:p>
                <a:pPr>
                  <a:defRPr sz="1200"/>
                </a:pPr>
                <a:r>
                  <a:rPr lang="en-US" sz="1200"/>
                  <a:t>Frequency</a:t>
                </a:r>
                <a:r>
                  <a:rPr lang="en-US" sz="1200" baseline="0"/>
                  <a:t> (Hz)</a:t>
                </a:r>
                <a:endParaRPr lang="en-US" sz="1200"/>
              </a:p>
            </c:rich>
          </c:tx>
          <c:overlay val="0"/>
        </c:title>
        <c:numFmt formatCode="0" sourceLinked="0"/>
        <c:majorTickMark val="out"/>
        <c:minorTickMark val="none"/>
        <c:tickLblPos val="low"/>
        <c:txPr>
          <a:bodyPr/>
          <a:lstStyle/>
          <a:p>
            <a:pPr>
              <a:defRPr b="1"/>
            </a:pPr>
            <a:endParaRPr lang="en-US"/>
          </a:p>
        </c:txPr>
        <c:crossAx val="555530112"/>
        <c:crosses val="autoZero"/>
        <c:crossBetween val="midCat"/>
      </c:valAx>
      <c:valAx>
        <c:axId val="555530112"/>
        <c:scaling>
          <c:orientation val="minMax"/>
          <c:max val="60"/>
          <c:min val="-60"/>
        </c:scaling>
        <c:delete val="0"/>
        <c:axPos val="l"/>
        <c:majorGridlines/>
        <c:minorGridlines/>
        <c:title>
          <c:tx>
            <c:rich>
              <a:bodyPr rot="-5400000" vert="horz"/>
              <a:lstStyle/>
              <a:p>
                <a:pPr>
                  <a:defRPr sz="1200"/>
                </a:pPr>
                <a:r>
                  <a:rPr lang="en-US" sz="1200">
                    <a:solidFill>
                      <a:srgbClr val="FF0000"/>
                    </a:solidFill>
                  </a:rPr>
                  <a:t>Gain</a:t>
                </a:r>
                <a:r>
                  <a:rPr lang="en-US" sz="1200" baseline="0">
                    <a:solidFill>
                      <a:srgbClr val="FF0000"/>
                    </a:solidFill>
                  </a:rPr>
                  <a:t> (dB)</a:t>
                </a:r>
                <a:endParaRPr lang="en-US" sz="1200">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Control_Loop_Tables!$BF$19:$BF$560</c:f>
              <c:numCache>
                <c:formatCode>0.000</c:formatCode>
                <c:ptCount val="542"/>
                <c:pt idx="0">
                  <c:v>45.789228333658578</c:v>
                </c:pt>
                <c:pt idx="1">
                  <c:v>45.589381423643744</c:v>
                </c:pt>
                <c:pt idx="2">
                  <c:v>45.389541648553262</c:v>
                </c:pt>
                <c:pt idx="3">
                  <c:v>45.189709336996387</c:v>
                </c:pt>
                <c:pt idx="4">
                  <c:v>44.989884832341069</c:v>
                </c:pt>
                <c:pt idx="5">
                  <c:v>44.790068493340847</c:v>
                </c:pt>
                <c:pt idx="6">
                  <c:v>44.590260694784135</c:v>
                </c:pt>
                <c:pt idx="7">
                  <c:v>44.390461828169109</c:v>
                </c:pt>
                <c:pt idx="8">
                  <c:v>44.190672302399825</c:v>
                </c:pt>
                <c:pt idx="9">
                  <c:v>43.990892544508561</c:v>
                </c:pt>
                <c:pt idx="10">
                  <c:v>43.791123000403587</c:v>
                </c:pt>
                <c:pt idx="11">
                  <c:v>43.591364135641051</c:v>
                </c:pt>
                <c:pt idx="12">
                  <c:v>43.391616436222378</c:v>
                </c:pt>
                <c:pt idx="13">
                  <c:v>43.191880409418282</c:v>
                </c:pt>
                <c:pt idx="14">
                  <c:v>42.992156584618122</c:v>
                </c:pt>
                <c:pt idx="15">
                  <c:v>42.792445514205603</c:v>
                </c:pt>
                <c:pt idx="16">
                  <c:v>42.592747774460122</c:v>
                </c:pt>
                <c:pt idx="17">
                  <c:v>42.393063966484199</c:v>
                </c:pt>
                <c:pt idx="18">
                  <c:v>42.193394717156274</c:v>
                </c:pt>
                <c:pt idx="19">
                  <c:v>41.993740680109084</c:v>
                </c:pt>
                <c:pt idx="20">
                  <c:v>41.794102536732076</c:v>
                </c:pt>
                <c:pt idx="21">
                  <c:v>41.594480997198161</c:v>
                </c:pt>
                <c:pt idx="22">
                  <c:v>41.394876801514201</c:v>
                </c:pt>
                <c:pt idx="23">
                  <c:v>41.195290720591736</c:v>
                </c:pt>
                <c:pt idx="24">
                  <c:v>40.995723557339623</c:v>
                </c:pt>
                <c:pt idx="25">
                  <c:v>40.796176147775789</c:v>
                </c:pt>
                <c:pt idx="26">
                  <c:v>40.596649362155439</c:v>
                </c:pt>
                <c:pt idx="27">
                  <c:v>40.397144106114673</c:v>
                </c:pt>
                <c:pt idx="28">
                  <c:v>40.197661321826587</c:v>
                </c:pt>
                <c:pt idx="29">
                  <c:v>39.998201989167313</c:v>
                </c:pt>
                <c:pt idx="30">
                  <c:v>39.798767126888094</c:v>
                </c:pt>
                <c:pt idx="31">
                  <c:v>39.599357793790716</c:v>
                </c:pt>
                <c:pt idx="32">
                  <c:v>39.399975089901048</c:v>
                </c:pt>
                <c:pt idx="33">
                  <c:v>39.200620157637559</c:v>
                </c:pt>
                <c:pt idx="34">
                  <c:v>39.001294182967889</c:v>
                </c:pt>
                <c:pt idx="35">
                  <c:v>38.801998396549365</c:v>
                </c:pt>
                <c:pt idx="36">
                  <c:v>38.602734074846474</c:v>
                </c:pt>
                <c:pt idx="37">
                  <c:v>38.403502541218216</c:v>
                </c:pt>
                <c:pt idx="38">
                  <c:v>38.204305166967572</c:v>
                </c:pt>
                <c:pt idx="39">
                  <c:v>38.005143372346033</c:v>
                </c:pt>
                <c:pt idx="40">
                  <c:v>37.806018627501601</c:v>
                </c:pt>
                <c:pt idx="41">
                  <c:v>37.606932453362539</c:v>
                </c:pt>
                <c:pt idx="42">
                  <c:v>37.407886422445216</c:v>
                </c:pt>
                <c:pt idx="43">
                  <c:v>37.208882159573669</c:v>
                </c:pt>
                <c:pt idx="44">
                  <c:v>37.009921342498949</c:v>
                </c:pt>
                <c:pt idx="45">
                  <c:v>36.811005702404728</c:v>
                </c:pt>
                <c:pt idx="46">
                  <c:v>36.61213702428342</c:v>
                </c:pt>
                <c:pt idx="47">
                  <c:v>36.413317147168293</c:v>
                </c:pt>
                <c:pt idx="48">
                  <c:v>36.214547964204364</c:v>
                </c:pt>
                <c:pt idx="49">
                  <c:v>36.015831422539605</c:v>
                </c:pt>
                <c:pt idx="50">
                  <c:v>35.817169523018528</c:v>
                </c:pt>
                <c:pt idx="51">
                  <c:v>35.618564319657821</c:v>
                </c:pt>
                <c:pt idx="52">
                  <c:v>35.420017918882124</c:v>
                </c:pt>
                <c:pt idx="53">
                  <c:v>35.221532478499654</c:v>
                </c:pt>
                <c:pt idx="54">
                  <c:v>35.023110206392801</c:v>
                </c:pt>
                <c:pt idx="55">
                  <c:v>34.824753358901312</c:v>
                </c:pt>
                <c:pt idx="56">
                  <c:v>34.626464238871691</c:v>
                </c:pt>
                <c:pt idx="57">
                  <c:v>34.42824519334949</c:v>
                </c:pt>
                <c:pt idx="58">
                  <c:v>34.230098610886117</c:v>
                </c:pt>
                <c:pt idx="59">
                  <c:v>34.032026918435726</c:v>
                </c:pt>
                <c:pt idx="60">
                  <c:v>33.834032577814604</c:v>
                </c:pt>
                <c:pt idx="61">
                  <c:v>33.636118081696289</c:v>
                </c:pt>
                <c:pt idx="62">
                  <c:v>33.438285949117194</c:v>
                </c:pt>
                <c:pt idx="63">
                  <c:v>33.240538720465359</c:v>
                </c:pt>
                <c:pt idx="64">
                  <c:v>33.042878951929012</c:v>
                </c:pt>
                <c:pt idx="65">
                  <c:v>32.845309209381142</c:v>
                </c:pt>
                <c:pt idx="66">
                  <c:v>32.647832061677221</c:v>
                </c:pt>
                <c:pt idx="67">
                  <c:v>32.450450073348058</c:v>
                </c:pt>
                <c:pt idx="68">
                  <c:v>32.253165796669485</c:v>
                </c:pt>
                <c:pt idx="69">
                  <c:v>32.055981763096355</c:v>
                </c:pt>
                <c:pt idx="70">
                  <c:v>31.858900474049463</c:v>
                </c:pt>
                <c:pt idx="71">
                  <c:v>31.66192439105178</c:v>
                </c:pt>
                <c:pt idx="72">
                  <c:v>31.465055925211566</c:v>
                </c:pt>
                <c:pt idx="73">
                  <c:v>31.268297426058815</c:v>
                </c:pt>
                <c:pt idx="74">
                  <c:v>31.071651169746659</c:v>
                </c:pt>
                <c:pt idx="75">
                  <c:v>30.875119346635014</c:v>
                </c:pt>
                <c:pt idx="76">
                  <c:v>30.678704048284622</c:v>
                </c:pt>
                <c:pt idx="77">
                  <c:v>30.48240725389477</c:v>
                </c:pt>
                <c:pt idx="78">
                  <c:v>30.286230816228649</c:v>
                </c:pt>
                <c:pt idx="79">
                  <c:v>30.090176447079866</c:v>
                </c:pt>
                <c:pt idx="80">
                  <c:v>29.894245702342491</c:v>
                </c:pt>
                <c:pt idx="81">
                  <c:v>29.69843996675862</c:v>
                </c:pt>
                <c:pt idx="82">
                  <c:v>29.502760438427664</c:v>
                </c:pt>
                <c:pt idx="83">
                  <c:v>29.307208113171367</c:v>
                </c:pt>
                <c:pt idx="84">
                  <c:v>29.111783768860775</c:v>
                </c:pt>
                <c:pt idx="85">
                  <c:v>28.916487949822169</c:v>
                </c:pt>
                <c:pt idx="86">
                  <c:v>28.721320951445954</c:v>
                </c:pt>
                <c:pt idx="87">
                  <c:v>28.526282805137512</c:v>
                </c:pt>
                <c:pt idx="88">
                  <c:v>28.33137326375158</c:v>
                </c:pt>
                <c:pt idx="89">
                  <c:v>28.136591787665203</c:v>
                </c:pt>
                <c:pt idx="90">
                  <c:v>27.941937531645703</c:v>
                </c:pt>
                <c:pt idx="91">
                  <c:v>27.74740933267821</c:v>
                </c:pt>
                <c:pt idx="92">
                  <c:v>27.553005698918458</c:v>
                </c:pt>
                <c:pt idx="93">
                  <c:v>27.358724799938244</c:v>
                </c:pt>
                <c:pt idx="94">
                  <c:v>27.164564458427684</c:v>
                </c:pt>
                <c:pt idx="95">
                  <c:v>26.970522143518156</c:v>
                </c:pt>
                <c:pt idx="96">
                  <c:v>26.776594965878271</c:v>
                </c:pt>
                <c:pt idx="97">
                  <c:v>26.582779674729771</c:v>
                </c:pt>
                <c:pt idx="98">
                  <c:v>26.389072656915829</c:v>
                </c:pt>
                <c:pt idx="99">
                  <c:v>26.195469938140526</c:v>
                </c:pt>
                <c:pt idx="100">
                  <c:v>26.001967186478492</c:v>
                </c:pt>
                <c:pt idx="101">
                  <c:v>25.808559718235514</c:v>
                </c:pt>
                <c:pt idx="102">
                  <c:v>25.615242506216237</c:v>
                </c:pt>
                <c:pt idx="103">
                  <c:v>25.422010190429511</c:v>
                </c:pt>
                <c:pt idx="104">
                  <c:v>25.228857091237291</c:v>
                </c:pt>
                <c:pt idx="105">
                  <c:v>25.035777224920565</c:v>
                </c:pt>
                <c:pt idx="106">
                  <c:v>24.842764321610492</c:v>
                </c:pt>
                <c:pt idx="107">
                  <c:v>24.649811845498881</c:v>
                </c:pt>
                <c:pt idx="108">
                  <c:v>24.456913017214834</c:v>
                </c:pt>
                <c:pt idx="109">
                  <c:v>24.264060838223354</c:v>
                </c:pt>
                <c:pt idx="110">
                  <c:v>24.071248117074489</c:v>
                </c:pt>
                <c:pt idx="111">
                  <c:v>23.878467497304907</c:v>
                </c:pt>
                <c:pt idx="112">
                  <c:v>23.685711486768781</c:v>
                </c:pt>
                <c:pt idx="113">
                  <c:v>23.492972488155466</c:v>
                </c:pt>
                <c:pt idx="114">
                  <c:v>23.30024283043192</c:v>
                </c:pt>
                <c:pt idx="115">
                  <c:v>23.107514800935185</c:v>
                </c:pt>
                <c:pt idx="116">
                  <c:v>22.914780677829405</c:v>
                </c:pt>
                <c:pt idx="117">
                  <c:v>22.722032762636655</c:v>
                </c:pt>
                <c:pt idx="118">
                  <c:v>22.529263412549017</c:v>
                </c:pt>
                <c:pt idx="119">
                  <c:v>22.33646507223466</c:v>
                </c:pt>
                <c:pt idx="120">
                  <c:v>22.143630304854824</c:v>
                </c:pt>
                <c:pt idx="121">
                  <c:v>21.950751822025062</c:v>
                </c:pt>
                <c:pt idx="122">
                  <c:v>21.757822512465346</c:v>
                </c:pt>
                <c:pt idx="123">
                  <c:v>21.564835469107464</c:v>
                </c:pt>
                <c:pt idx="124">
                  <c:v>21.371784014446604</c:v>
                </c:pt>
                <c:pt idx="125">
                  <c:v>21.178661723953475</c:v>
                </c:pt>
                <c:pt idx="126">
                  <c:v>20.985462447386304</c:v>
                </c:pt>
                <c:pt idx="127">
                  <c:v>20.792180327875414</c:v>
                </c:pt>
                <c:pt idx="128">
                  <c:v>20.598809818679001</c:v>
                </c:pt>
                <c:pt idx="129">
                  <c:v>20.405345697540408</c:v>
                </c:pt>
                <c:pt idx="130">
                  <c:v>20.211783078609194</c:v>
                </c:pt>
                <c:pt idx="131">
                  <c:v>20.018117421913114</c:v>
                </c:pt>
                <c:pt idx="132">
                  <c:v>19.824344540399739</c:v>
                </c:pt>
                <c:pt idx="133">
                  <c:v>19.630460604590894</c:v>
                </c:pt>
                <c:pt idx="134">
                  <c:v>19.436462144918988</c:v>
                </c:pt>
                <c:pt idx="135">
                  <c:v>19.242346051832261</c:v>
                </c:pt>
                <c:pt idx="136">
                  <c:v>19.048109573781549</c:v>
                </c:pt>
                <c:pt idx="137">
                  <c:v>18.853750313210384</c:v>
                </c:pt>
                <c:pt idx="138">
                  <c:v>18.659266220691777</c:v>
                </c:pt>
                <c:pt idx="139">
                  <c:v>18.464655587356791</c:v>
                </c:pt>
                <c:pt idx="140">
                  <c:v>18.269917035778597</c:v>
                </c:pt>
                <c:pt idx="141">
                  <c:v>18.075049509470876</c:v>
                </c:pt>
                <c:pt idx="142">
                  <c:v>17.880052261169681</c:v>
                </c:pt>
                <c:pt idx="143">
                  <c:v>17.684924840064006</c:v>
                </c:pt>
                <c:pt idx="144">
                  <c:v>17.489667078140641</c:v>
                </c:pt>
                <c:pt idx="145">
                  <c:v>17.29427907580347</c:v>
                </c:pt>
                <c:pt idx="146">
                  <c:v>17.098761186923742</c:v>
                </c:pt>
                <c:pt idx="147">
                  <c:v>16.903114003468069</c:v>
                </c:pt>
                <c:pt idx="148">
                  <c:v>16.707338339846213</c:v>
                </c:pt>
                <c:pt idx="149">
                  <c:v>16.511435217108691</c:v>
                </c:pt>
                <c:pt idx="150">
                  <c:v>16.315405847115532</c:v>
                </c:pt>
                <c:pt idx="151">
                  <c:v>16.119251616786098</c:v>
                </c:pt>
                <c:pt idx="152">
                  <c:v>15.922974072532512</c:v>
                </c:pt>
                <c:pt idx="153">
                  <c:v>15.726574904961812</c:v>
                </c:pt>
                <c:pt idx="154">
                  <c:v>15.53005593393018</c:v>
                </c:pt>
                <c:pt idx="155">
                  <c:v>15.333419094012161</c:v>
                </c:pt>
                <c:pt idx="156">
                  <c:v>15.136666420447211</c:v>
                </c:pt>
                <c:pt idx="157">
                  <c:v>14.9398000356073</c:v>
                </c:pt>
                <c:pt idx="158">
                  <c:v>14.742822136027424</c:v>
                </c:pt>
                <c:pt idx="159">
                  <c:v>14.545734980027605</c:v>
                </c:pt>
                <c:pt idx="160">
                  <c:v>14.348540875947304</c:v>
                </c:pt>
                <c:pt idx="161">
                  <c:v>14.151242171009242</c:v>
                </c:pt>
                <c:pt idx="162">
                  <c:v>13.953841240817519</c:v>
                </c:pt>
                <c:pt idx="163">
                  <c:v>13.756340479493645</c:v>
                </c:pt>
                <c:pt idx="164">
                  <c:v>13.558742290445737</c:v>
                </c:pt>
                <c:pt idx="165">
                  <c:v>13.361049077762745</c:v>
                </c:pt>
                <c:pt idx="166">
                  <c:v>13.163263238220843</c:v>
                </c:pt>
                <c:pt idx="167">
                  <c:v>12.965387153884979</c:v>
                </c:pt>
                <c:pt idx="168">
                  <c:v>12.76742318528844</c:v>
                </c:pt>
                <c:pt idx="169">
                  <c:v>12.569373665165898</c:v>
                </c:pt>
                <c:pt idx="170">
                  <c:v>12.371240892718234</c:v>
                </c:pt>
                <c:pt idx="171">
                  <c:v>12.173027128382852</c:v>
                </c:pt>
                <c:pt idx="172">
                  <c:v>11.974734589083113</c:v>
                </c:pt>
                <c:pt idx="173">
                  <c:v>11.776365443929976</c:v>
                </c:pt>
                <c:pt idx="174">
                  <c:v>11.577921810347169</c:v>
                </c:pt>
                <c:pt idx="175">
                  <c:v>11.379405750592291</c:v>
                </c:pt>
                <c:pt idx="176">
                  <c:v>11.180819268646268</c:v>
                </c:pt>
                <c:pt idx="177">
                  <c:v>10.982164307441675</c:v>
                </c:pt>
                <c:pt idx="178">
                  <c:v>10.783442746404964</c:v>
                </c:pt>
                <c:pt idx="179">
                  <c:v>10.584656399282796</c:v>
                </c:pt>
                <c:pt idx="180">
                  <c:v>10.385807012228646</c:v>
                </c:pt>
                <c:pt idx="181">
                  <c:v>10.18689626212214</c:v>
                </c:pt>
                <c:pt idx="182">
                  <c:v>9.9879257550985372</c:v>
                </c:pt>
                <c:pt idx="183">
                  <c:v>9.7888970252620471</c:v>
                </c:pt>
                <c:pt idx="184">
                  <c:v>9.589811533562246</c:v>
                </c:pt>
                <c:pt idx="185">
                  <c:v>9.3906706668099247</c:v>
                </c:pt>
                <c:pt idx="186">
                  <c:v>9.1914757368126097</c:v>
                </c:pt>
                <c:pt idx="187">
                  <c:v>8.9922279796077778</c:v>
                </c:pt>
                <c:pt idx="188">
                  <c:v>8.7929285547770384</c:v>
                </c:pt>
                <c:pt idx="189">
                  <c:v>8.5935785448200193</c:v>
                </c:pt>
                <c:pt idx="190">
                  <c:v>8.394178954572908</c:v>
                </c:pt>
                <c:pt idx="191">
                  <c:v>8.194730710652955</c:v>
                </c:pt>
                <c:pt idx="192">
                  <c:v>7.9952346609139626</c:v>
                </c:pt>
                <c:pt idx="193">
                  <c:v>7.795691573897706</c:v>
                </c:pt>
                <c:pt idx="194">
                  <c:v>7.5961021382655467</c:v>
                </c:pt>
                <c:pt idx="195">
                  <c:v>7.3964669621976631</c:v>
                </c:pt>
                <c:pt idx="196">
                  <c:v>7.1967865727449878</c:v>
                </c:pt>
                <c:pt idx="197">
                  <c:v>6.9970614151227242</c:v>
                </c:pt>
                <c:pt idx="198">
                  <c:v>6.7972918519310888</c:v>
                </c:pt>
                <c:pt idx="199">
                  <c:v>6.597478162292882</c:v>
                </c:pt>
                <c:pt idx="200">
                  <c:v>6.3976205408955389</c:v>
                </c:pt>
                <c:pt idx="201">
                  <c:v>6.1977190969257858</c:v>
                </c:pt>
                <c:pt idx="202">
                  <c:v>5.9977738528871347</c:v>
                </c:pt>
                <c:pt idx="203">
                  <c:v>5.7977847432889451</c:v>
                </c:pt>
                <c:pt idx="204">
                  <c:v>5.5977516131953298</c:v>
                </c:pt>
                <c:pt idx="205">
                  <c:v>5.397674216625453</c:v>
                </c:pt>
                <c:pt idx="206">
                  <c:v>5.197552214793185</c:v>
                </c:pt>
                <c:pt idx="207">
                  <c:v>4.9973851741770972</c:v>
                </c:pt>
                <c:pt idx="208">
                  <c:v>4.7971725644099479</c:v>
                </c:pt>
                <c:pt idx="209">
                  <c:v>4.5969137559780417</c:v>
                </c:pt>
                <c:pt idx="210">
                  <c:v>4.3966080177203555</c:v>
                </c:pt>
                <c:pt idx="211">
                  <c:v>4.1962545141178555</c:v>
                </c:pt>
                <c:pt idx="212">
                  <c:v>3.9958523023622652</c:v>
                </c:pt>
                <c:pt idx="213">
                  <c:v>3.7954003291955041</c:v>
                </c:pt>
                <c:pt idx="214">
                  <c:v>3.5948974275100243</c:v>
                </c:pt>
                <c:pt idx="215">
                  <c:v>3.3943423126997176</c:v>
                </c:pt>
                <c:pt idx="216">
                  <c:v>3.1937335787526147</c:v>
                </c:pt>
                <c:pt idx="217">
                  <c:v>2.9930696940765116</c:v>
                </c:pt>
                <c:pt idx="218">
                  <c:v>2.7923489970474176</c:v>
                </c:pt>
                <c:pt idx="219">
                  <c:v>2.5915696912739588</c:v>
                </c:pt>
                <c:pt idx="220">
                  <c:v>2.3907298405681381</c:v>
                </c:pt>
                <c:pt idx="221">
                  <c:v>2.1898273636146599</c:v>
                </c:pt>
                <c:pt idx="222">
                  <c:v>1.9888600283338154</c:v>
                </c:pt>
                <c:pt idx="223">
                  <c:v>1.7878254459291141</c:v>
                </c:pt>
                <c:pt idx="224">
                  <c:v>1.5867210646154595</c:v>
                </c:pt>
                <c:pt idx="225">
                  <c:v>1.3855441630244434</c:v>
                </c:pt>
                <c:pt idx="226">
                  <c:v>1.1842918432804601</c:v>
                </c:pt>
                <c:pt idx="227">
                  <c:v>0.9829610237496933</c:v>
                </c:pt>
                <c:pt idx="228">
                  <c:v>0.78154843145925457</c:v>
                </c:pt>
                <c:pt idx="229">
                  <c:v>0.580050594187552</c:v>
                </c:pt>
                <c:pt idx="230">
                  <c:v>0.3784638322319272</c:v>
                </c:pt>
                <c:pt idx="231">
                  <c:v>0.17678424985568306</c:v>
                </c:pt>
                <c:pt idx="232">
                  <c:v>-2.4992273572829564E-2</c:v>
                </c:pt>
                <c:pt idx="233">
                  <c:v>-0.22687009274357484</c:v>
                </c:pt>
                <c:pt idx="234">
                  <c:v>-0.42885380585223731</c:v>
                </c:pt>
                <c:pt idx="235">
                  <c:v>-0.63094826431653117</c:v>
                </c:pt>
                <c:pt idx="236">
                  <c:v>-0.83315858274159416</c:v>
                </c:pt>
                <c:pt idx="237">
                  <c:v>-1.0354901491086248</c:v>
                </c:pt>
                <c:pt idx="238">
                  <c:v>-1.2379486351590254</c:v>
                </c:pt>
                <c:pt idx="239">
                  <c:v>-1.4405400069421894</c:v>
                </c:pt>
                <c:pt idx="240">
                  <c:v>-1.6432705354885777</c:v>
                </c:pt>
                <c:pt idx="241">
                  <c:v>-1.8461468075678844</c:v>
                </c:pt>
                <c:pt idx="242">
                  <c:v>-2.0491757364839591</c:v>
                </c:pt>
                <c:pt idx="243">
                  <c:v>-2.2523645728562012</c:v>
                </c:pt>
                <c:pt idx="244">
                  <c:v>-2.4557209153299513</c:v>
                </c:pt>
                <c:pt idx="245">
                  <c:v>-2.6592527211537664</c:v>
                </c:pt>
                <c:pt idx="246">
                  <c:v>-2.8629683165562083</c:v>
                </c:pt>
                <c:pt idx="247">
                  <c:v>-3.0668764068499241</c:v>
                </c:pt>
                <c:pt idx="248">
                  <c:v>-3.2709860861830569</c:v>
                </c:pt>
                <c:pt idx="249">
                  <c:v>-3.4753068468572934</c:v>
                </c:pt>
                <c:pt idx="250">
                  <c:v>-3.6798485881223209</c:v>
                </c:pt>
                <c:pt idx="251">
                  <c:v>-3.884621624353894</c:v>
                </c:pt>
                <c:pt idx="252">
                  <c:v>-4.089636692517499</c:v>
                </c:pt>
                <c:pt idx="253">
                  <c:v>-4.2949049588153843</c:v>
                </c:pt>
                <c:pt idx="254">
                  <c:v>-4.5004380244104256</c:v>
                </c:pt>
                <c:pt idx="255">
                  <c:v>-4.7062479301165459</c:v>
                </c:pt>
                <c:pt idx="256">
                  <c:v>-4.9123471599414792</c:v>
                </c:pt>
                <c:pt idx="257">
                  <c:v>-5.1187486433667351</c:v>
                </c:pt>
                <c:pt idx="258">
                  <c:v>-5.3254657562442995</c:v>
                </c:pt>
                <c:pt idx="259">
                  <c:v>-5.5325123201891655</c:v>
                </c:pt>
                <c:pt idx="260">
                  <c:v>-5.7399026003455669</c:v>
                </c:pt>
                <c:pt idx="261">
                  <c:v>-5.9476513014015993</c:v>
                </c:pt>
                <c:pt idx="262">
                  <c:v>-6.1557735617280374</c:v>
                </c:pt>
                <c:pt idx="263">
                  <c:v>-6.3642849455164106</c:v>
                </c:pt>
                <c:pt idx="264">
                  <c:v>-6.5732014327901496</c:v>
                </c:pt>
                <c:pt idx="265">
                  <c:v>-6.7825394071645206</c:v>
                </c:pt>
                <c:pt idx="266">
                  <c:v>-6.992315641231901</c:v>
                </c:pt>
                <c:pt idx="267">
                  <c:v>-7.2025472794491154</c:v>
                </c:pt>
                <c:pt idx="268">
                  <c:v>-7.413251818406672</c:v>
                </c:pt>
                <c:pt idx="269">
                  <c:v>-7.6244470843606083</c:v>
                </c:pt>
                <c:pt idx="270">
                  <c:v>-7.8361512079121143</c:v>
                </c:pt>
                <c:pt idx="271">
                  <c:v>-8.0483825957219839</c:v>
                </c:pt>
                <c:pt idx="272">
                  <c:v>-8.2611598991511315</c:v>
                </c:pt>
                <c:pt idx="273">
                  <c:v>-8.4745019797249483</c:v>
                </c:pt>
                <c:pt idx="274">
                  <c:v>-8.6884278713228387</c:v>
                </c:pt>
                <c:pt idx="275">
                  <c:v>-8.9029567390032192</c:v>
                </c:pt>
                <c:pt idx="276">
                  <c:v>-9.1181078343815365</c:v>
                </c:pt>
                <c:pt idx="277">
                  <c:v>-9.3339004474889631</c:v>
                </c:pt>
                <c:pt idx="278">
                  <c:v>-9.5503538550521956</c:v>
                </c:pt>
                <c:pt idx="279">
                  <c:v>-9.767487265146011</c:v>
                </c:pt>
                <c:pt idx="280">
                  <c:v>-9.9853197581900979</c:v>
                </c:pt>
                <c:pt idx="281">
                  <c:v>-10.203870224276191</c:v>
                </c:pt>
                <c:pt idx="282">
                  <c:v>-10.423157296835686</c:v>
                </c:pt>
                <c:pt idx="283">
                  <c:v>-10.643199282681206</c:v>
                </c:pt>
                <c:pt idx="284">
                  <c:v>-10.864014088483035</c:v>
                </c:pt>
                <c:pt idx="285">
                  <c:v>-11.08561914377181</c:v>
                </c:pt>
                <c:pt idx="286">
                  <c:v>-11.308031320593908</c:v>
                </c:pt>
                <c:pt idx="287">
                  <c:v>-11.531266849982487</c:v>
                </c:pt>
                <c:pt idx="288">
                  <c:v>-11.755341235447659</c:v>
                </c:pt>
                <c:pt idx="289">
                  <c:v>-11.980269163734699</c:v>
                </c:pt>
                <c:pt idx="290">
                  <c:v>-12.206064413144821</c:v>
                </c:pt>
                <c:pt idx="291">
                  <c:v>-12.432739759761905</c:v>
                </c:pt>
                <c:pt idx="292">
                  <c:v>-12.660306881982535</c:v>
                </c:pt>
                <c:pt idx="293">
                  <c:v>-12.888776263796784</c:v>
                </c:pt>
                <c:pt idx="294">
                  <c:v>-13.118157097324039</c:v>
                </c:pt>
                <c:pt idx="295">
                  <c:v>-13.348457185160051</c:v>
                </c:pt>
                <c:pt idx="296">
                  <c:v>-13.579682843146463</c:v>
                </c:pt>
                <c:pt idx="297">
                  <c:v>-13.811838804225376</c:v>
                </c:pt>
                <c:pt idx="298">
                  <c:v>-14.044928124090262</c:v>
                </c:pt>
                <c:pt idx="299">
                  <c:v>-14.2789520893899</c:v>
                </c:pt>
                <c:pt idx="300">
                  <c:v>-14.513910129283405</c:v>
                </c:pt>
                <c:pt idx="301">
                  <c:v>-14.749799731176175</c:v>
                </c:pt>
                <c:pt idx="302">
                  <c:v>-14.986616361496816</c:v>
                </c:pt>
                <c:pt idx="303">
                  <c:v>-15.224353392390721</c:v>
                </c:pt>
                <c:pt idx="304">
                  <c:v>-15.463002035215915</c:v>
                </c:pt>
                <c:pt idx="305">
                  <c:v>-15.702551281727892</c:v>
                </c:pt>
                <c:pt idx="306">
                  <c:v>-15.94298785382183</c:v>
                </c:pt>
                <c:pt idx="307">
                  <c:v>-16.184296162683086</c:v>
                </c:pt>
                <c:pt idx="308">
                  <c:v>-16.426458278153486</c:v>
                </c:pt>
                <c:pt idx="309">
                  <c:v>-16.669453909074161</c:v>
                </c:pt>
                <c:pt idx="310">
                  <c:v>-16.913260395302249</c:v>
                </c:pt>
                <c:pt idx="311">
                  <c:v>-17.157852712021892</c:v>
                </c:pt>
                <c:pt idx="312">
                  <c:v>-17.403203486882198</c:v>
                </c:pt>
                <c:pt idx="313">
                  <c:v>-17.649283030395075</c:v>
                </c:pt>
                <c:pt idx="314">
                  <c:v>-17.896059379913588</c:v>
                </c:pt>
                <c:pt idx="315">
                  <c:v>-18.143498357392794</c:v>
                </c:pt>
                <c:pt idx="316">
                  <c:v>-18.391563641003195</c:v>
                </c:pt>
                <c:pt idx="317">
                  <c:v>-18.640216850533232</c:v>
                </c:pt>
                <c:pt idx="318">
                  <c:v>-18.889417646377609</c:v>
                </c:pt>
                <c:pt idx="319">
                  <c:v>-19.139123841759901</c:v>
                </c:pt>
                <c:pt idx="320">
                  <c:v>-19.389291527702067</c:v>
                </c:pt>
                <c:pt idx="321">
                  <c:v>-19.639875210103035</c:v>
                </c:pt>
                <c:pt idx="322">
                  <c:v>-19.890827958154897</c:v>
                </c:pt>
                <c:pt idx="323">
                  <c:v>-20.142101563190423</c:v>
                </c:pt>
                <c:pt idx="324">
                  <c:v>-20.393646706934419</c:v>
                </c:pt>
                <c:pt idx="325">
                  <c:v>-20.645413138013105</c:v>
                </c:pt>
                <c:pt idx="326">
                  <c:v>-20.897349855478854</c:v>
                </c:pt>
                <c:pt idx="327">
                  <c:v>-21.149405298018454</c:v>
                </c:pt>
                <c:pt idx="328">
                  <c:v>-21.401527537441968</c:v>
                </c:pt>
                <c:pt idx="329">
                  <c:v>-21.653664474996038</c:v>
                </c:pt>
                <c:pt idx="330">
                  <c:v>-21.905764039006304</c:v>
                </c:pt>
                <c:pt idx="331">
                  <c:v>-22.15777438234058</c:v>
                </c:pt>
                <c:pt idx="332">
                  <c:v>-22.409644078181348</c:v>
                </c:pt>
                <c:pt idx="333">
                  <c:v>-22.661322312619788</c:v>
                </c:pt>
                <c:pt idx="334">
                  <c:v>-22.912759072619458</c:v>
                </c:pt>
                <c:pt idx="335">
                  <c:v>-23.163905327958247</c:v>
                </c:pt>
                <c:pt idx="336">
                  <c:v>-23.414713205827063</c:v>
                </c:pt>
                <c:pt idx="337">
                  <c:v>-23.665136156857159</c:v>
                </c:pt>
                <c:pt idx="338">
                  <c:v>-23.915129111447413</c:v>
                </c:pt>
                <c:pt idx="339">
                  <c:v>-24.164648625382227</c:v>
                </c:pt>
                <c:pt idx="340">
                  <c:v>-24.413653013853825</c:v>
                </c:pt>
                <c:pt idx="341">
                  <c:v>-24.662102473139949</c:v>
                </c:pt>
                <c:pt idx="342">
                  <c:v>-24.909959189323882</c:v>
                </c:pt>
                <c:pt idx="343">
                  <c:v>-25.157187433591712</c:v>
                </c:pt>
                <c:pt idx="344">
                  <c:v>-25.403753643785024</c:v>
                </c:pt>
                <c:pt idx="345">
                  <c:v>-25.649626492029793</c:v>
                </c:pt>
                <c:pt idx="346">
                  <c:v>-25.894776938408747</c:v>
                </c:pt>
                <c:pt idx="347">
                  <c:v>-26.139178270773677</c:v>
                </c:pt>
                <c:pt idx="348">
                  <c:v>-26.382806130931648</c:v>
                </c:pt>
                <c:pt idx="349">
                  <c:v>-26.625638527554205</c:v>
                </c:pt>
                <c:pt idx="350">
                  <c:v>-26.867655836273773</c:v>
                </c:pt>
                <c:pt idx="351">
                  <c:v>-27.108840787530092</c:v>
                </c:pt>
                <c:pt idx="352">
                  <c:v>-27.349178442820737</c:v>
                </c:pt>
                <c:pt idx="353">
                  <c:v>-27.588656160081339</c:v>
                </c:pt>
                <c:pt idx="354">
                  <c:v>-27.827263548992448</c:v>
                </c:pt>
                <c:pt idx="355">
                  <c:v>-28.064992417049808</c:v>
                </c:pt>
                <c:pt idx="356">
                  <c:v>-28.301836707282853</c:v>
                </c:pt>
                <c:pt idx="357">
                  <c:v>-28.537792428523566</c:v>
                </c:pt>
                <c:pt idx="358">
                  <c:v>-28.772857579143619</c:v>
                </c:pt>
                <c:pt idx="359">
                  <c:v>-29.007032065180319</c:v>
                </c:pt>
                <c:pt idx="360">
                  <c:v>-29.240317613759359</c:v>
                </c:pt>
                <c:pt idx="361">
                  <c:v>-29.472717682705763</c:v>
                </c:pt>
                <c:pt idx="362">
                  <c:v>-29.704237367208034</c:v>
                </c:pt>
                <c:pt idx="363">
                  <c:v>-29.934883304362057</c:v>
                </c:pt>
                <c:pt idx="364">
                  <c:v>-30.164663576383219</c:v>
                </c:pt>
                <c:pt idx="365">
                  <c:v>-30.393587613226916</c:v>
                </c:pt>
                <c:pt idx="366">
                  <c:v>-30.621666095307226</c:v>
                </c:pt>
                <c:pt idx="367">
                  <c:v>-30.848910856949225</c:v>
                </c:pt>
                <c:pt idx="368">
                  <c:v>-31.075334791154646</c:v>
                </c:pt>
                <c:pt idx="369">
                  <c:v>-31.300951756203503</c:v>
                </c:pt>
                <c:pt idx="370">
                  <c:v>-31.52577648455576</c:v>
                </c:pt>
                <c:pt idx="371">
                  <c:v>-31.749824494461372</c:v>
                </c:pt>
                <c:pt idx="372">
                  <c:v>-31.973112004630906</c:v>
                </c:pt>
                <c:pt idx="373">
                  <c:v>-32.195655852262881</c:v>
                </c:pt>
                <c:pt idx="374">
                  <c:v>-32.417473414675548</c:v>
                </c:pt>
                <c:pt idx="375">
                  <c:v>-32.638582534738745</c:v>
                </c:pt>
                <c:pt idx="376">
                  <c:v>-32.859001450256258</c:v>
                </c:pt>
                <c:pt idx="377">
                  <c:v>-33.078748727407515</c:v>
                </c:pt>
                <c:pt idx="378">
                  <c:v>-33.297843198315164</c:v>
                </c:pt>
                <c:pt idx="379">
                  <c:v>-33.516303902771995</c:v>
                </c:pt>
                <c:pt idx="380">
                  <c:v>-33.73415003412611</c:v>
                </c:pt>
                <c:pt idx="381">
                  <c:v>-33.951400889295826</c:v>
                </c:pt>
                <c:pt idx="382">
                  <c:v>-34.168075822858633</c:v>
                </c:pt>
                <c:pt idx="383">
                  <c:v>-34.38419420513776</c:v>
                </c:pt>
                <c:pt idx="384">
                  <c:v>-34.599775384191666</c:v>
                </c:pt>
                <c:pt idx="385">
                  <c:v>-34.814838651591458</c:v>
                </c:pt>
                <c:pt idx="386">
                  <c:v>-35.029403211864867</c:v>
                </c:pt>
                <c:pt idx="387">
                  <c:v>-35.243488155468953</c:v>
                </c:pt>
                <c:pt idx="388">
                  <c:v>-35.457112435148758</c:v>
                </c:pt>
                <c:pt idx="389">
                  <c:v>-35.670294845532325</c:v>
                </c:pt>
                <c:pt idx="390">
                  <c:v>-35.883054005809235</c:v>
                </c:pt>
                <c:pt idx="391">
                  <c:v>-36.095408345336651</c:v>
                </c:pt>
                <c:pt idx="392">
                  <c:v>-36.307376092018025</c:v>
                </c:pt>
                <c:pt idx="393">
                  <c:v>-36.518975263298685</c:v>
                </c:pt>
                <c:pt idx="394">
                  <c:v>-36.730223659626105</c:v>
                </c:pt>
                <c:pt idx="395">
                  <c:v>-36.941138860225074</c:v>
                </c:pt>
                <c:pt idx="396">
                  <c:v>-37.151738221042386</c:v>
                </c:pt>
                <c:pt idx="397">
                  <c:v>-37.362038874719708</c:v>
                </c:pt>
                <c:pt idx="398">
                  <c:v>-37.572057732459776</c:v>
                </c:pt>
                <c:pt idx="399">
                  <c:v>-37.781811487655929</c:v>
                </c:pt>
                <c:pt idx="400">
                  <c:v>-37.991316621160529</c:v>
                </c:pt>
                <c:pt idx="401">
                  <c:v>-38.200589408075864</c:v>
                </c:pt>
                <c:pt idx="402">
                  <c:v>-38.409645925956141</c:v>
                </c:pt>
                <c:pt idx="403">
                  <c:v>-38.618502064315813</c:v>
                </c:pt>
                <c:pt idx="404">
                  <c:v>-38.827173535347164</c:v>
                </c:pt>
                <c:pt idx="405">
                  <c:v>-39.035675885753804</c:v>
                </c:pt>
                <c:pt idx="406">
                  <c:v>-39.244024509617248</c:v>
                </c:pt>
                <c:pt idx="407">
                  <c:v>-39.452234662215126</c:v>
                </c:pt>
                <c:pt idx="408">
                  <c:v>-39.660321474718252</c:v>
                </c:pt>
                <c:pt idx="409">
                  <c:v>-39.868299969700487</c:v>
                </c:pt>
                <c:pt idx="410">
                  <c:v>-40.076185077395394</c:v>
                </c:pt>
                <c:pt idx="411">
                  <c:v>-40.283991652646719</c:v>
                </c:pt>
                <c:pt idx="412">
                  <c:v>-40.491734492496036</c:v>
                </c:pt>
                <c:pt idx="413">
                  <c:v>-40.699428354362041</c:v>
                </c:pt>
                <c:pt idx="414">
                  <c:v>-40.90708797476583</c:v>
                </c:pt>
                <c:pt idx="415">
                  <c:v>-41.114728088561669</c:v>
                </c:pt>
                <c:pt idx="416">
                  <c:v>-41.322363448636892</c:v>
                </c:pt>
                <c:pt idx="417">
                  <c:v>-41.530008846045362</c:v>
                </c:pt>
                <c:pt idx="418">
                  <c:v>-41.737679130543015</c:v>
                </c:pt>
                <c:pt idx="419">
                  <c:v>-41.945389231496151</c:v>
                </c:pt>
                <c:pt idx="420">
                  <c:v>-42.153154179134916</c:v>
                </c:pt>
                <c:pt idx="421">
                  <c:v>-42.360989126123826</c:v>
                </c:pt>
                <c:pt idx="422">
                  <c:v>-42.56890936942596</c:v>
                </c:pt>
                <c:pt idx="423">
                  <c:v>-42.776930372434109</c:v>
                </c:pt>
                <c:pt idx="424">
                  <c:v>-42.985067787345201</c:v>
                </c:pt>
                <c:pt idx="425">
                  <c:v>-43.193337477753047</c:v>
                </c:pt>
                <c:pt idx="426">
                  <c:v>-43.401755541433431</c:v>
                </c:pt>
                <c:pt idx="427">
                  <c:v>-43.610338333294706</c:v>
                </c:pt>
                <c:pt idx="428">
                  <c:v>-43.81910248846718</c:v>
                </c:pt>
                <c:pt idx="429">
                  <c:v>-44.028064945500844</c:v>
                </c:pt>
                <c:pt idx="430">
                  <c:v>-44.237242969638473</c:v>
                </c:pt>
                <c:pt idx="431">
                  <c:v>-44.446654176130522</c:v>
                </c:pt>
                <c:pt idx="432">
                  <c:v>-44.656316553554191</c:v>
                </c:pt>
                <c:pt idx="433">
                  <c:v>-44.866248487093927</c:v>
                </c:pt>
                <c:pt idx="434">
                  <c:v>-45.076468781739152</c:v>
                </c:pt>
                <c:pt idx="435">
                  <c:v>-45.286996685349138</c:v>
                </c:pt>
                <c:pt idx="436">
                  <c:v>-45.497851911530695</c:v>
                </c:pt>
                <c:pt idx="437">
                  <c:v>-45.709054662268343</c:v>
                </c:pt>
                <c:pt idx="438">
                  <c:v>-45.92062565024208</c:v>
                </c:pt>
                <c:pt idx="439">
                  <c:v>-46.132586120761147</c:v>
                </c:pt>
                <c:pt idx="440">
                  <c:v>-46.344957873235877</c:v>
                </c:pt>
                <c:pt idx="441">
                  <c:v>-46.557763282103068</c:v>
                </c:pt>
                <c:pt idx="442">
                  <c:v>-46.771025317112333</c:v>
                </c:pt>
                <c:pt idx="443">
                  <c:v>-46.984767562875085</c:v>
                </c:pt>
                <c:pt idx="444">
                  <c:v>-47.199014237568456</c:v>
                </c:pt>
                <c:pt idx="445">
                  <c:v>-47.413790210678812</c:v>
                </c:pt>
                <c:pt idx="446">
                  <c:v>-47.629121019662534</c:v>
                </c:pt>
                <c:pt idx="447">
                  <c:v>-47.845032885391731</c:v>
                </c:pt>
                <c:pt idx="448">
                  <c:v>-48.061552726245147</c:v>
                </c:pt>
                <c:pt idx="449">
                  <c:v>-48.278708170695708</c:v>
                </c:pt>
                <c:pt idx="450">
                  <c:v>-48.496527568239401</c:v>
                </c:pt>
                <c:pt idx="451">
                  <c:v>-48.715039998500423</c:v>
                </c:pt>
                <c:pt idx="452">
                  <c:v>-48.934275278339243</c:v>
                </c:pt>
                <c:pt idx="453">
                  <c:v>-49.154263966787546</c:v>
                </c:pt>
                <c:pt idx="454">
                  <c:v>-49.375037367621033</c:v>
                </c:pt>
                <c:pt idx="455">
                  <c:v>-49.596627529381493</c:v>
                </c:pt>
                <c:pt idx="456">
                  <c:v>-49.81906724264887</c:v>
                </c:pt>
                <c:pt idx="457">
                  <c:v>-50.042390034366697</c:v>
                </c:pt>
                <c:pt idx="458">
                  <c:v>-50.26663015901601</c:v>
                </c:pt>
                <c:pt idx="459">
                  <c:v>-50.491822586435092</c:v>
                </c:pt>
                <c:pt idx="460">
                  <c:v>-50.718002986083881</c:v>
                </c:pt>
                <c:pt idx="461">
                  <c:v>-50.945207707551276</c:v>
                </c:pt>
                <c:pt idx="462">
                  <c:v>-51.173473757112902</c:v>
                </c:pt>
                <c:pt idx="463">
                  <c:v>-51.40283877015019</c:v>
                </c:pt>
                <c:pt idx="464">
                  <c:v>-51.633340979254413</c:v>
                </c:pt>
                <c:pt idx="465">
                  <c:v>-51.865019177848957</c:v>
                </c:pt>
                <c:pt idx="466">
                  <c:v>-52.097912679183416</c:v>
                </c:pt>
                <c:pt idx="467">
                  <c:v>-52.332061270565326</c:v>
                </c:pt>
                <c:pt idx="468">
                  <c:v>-52.567505162723471</c:v>
                </c:pt>
                <c:pt idx="469">
                  <c:v>-52.804284934217584</c:v>
                </c:pt>
                <c:pt idx="470">
                  <c:v>-53.042441470840501</c:v>
                </c:pt>
                <c:pt idx="471">
                  <c:v>-53.28201589999027</c:v>
                </c:pt>
                <c:pt idx="472">
                  <c:v>-53.523049520022987</c:v>
                </c:pt>
                <c:pt idx="473">
                  <c:v>-53.765583724641218</c:v>
                </c:pt>
                <c:pt idx="474">
                  <c:v>-54.009659922409682</c:v>
                </c:pt>
                <c:pt idx="475">
                  <c:v>-54.255319451535499</c:v>
                </c:pt>
                <c:pt idx="476">
                  <c:v>-54.502603490101926</c:v>
                </c:pt>
                <c:pt idx="477">
                  <c:v>-54.751552961987926</c:v>
                </c:pt>
                <c:pt idx="478">
                  <c:v>-55.002208438762281</c:v>
                </c:pt>
                <c:pt idx="479">
                  <c:v>-55.254610037890103</c:v>
                </c:pt>
                <c:pt idx="480">
                  <c:v>-55.508797317644451</c:v>
                </c:pt>
                <c:pt idx="481">
                  <c:v>-55.764809169168885</c:v>
                </c:pt>
                <c:pt idx="482">
                  <c:v>-56.022683706185262</c:v>
                </c:pt>
                <c:pt idx="483">
                  <c:v>-56.282458152895899</c:v>
                </c:pt>
                <c:pt idx="484">
                  <c:v>-56.544168730673434</c:v>
                </c:pt>
                <c:pt idx="485">
                  <c:v>-56.807850544176048</c:v>
                </c:pt>
                <c:pt idx="486">
                  <c:v>-57.073537467565707</c:v>
                </c:pt>
                <c:pt idx="487">
                  <c:v>-57.341262031542435</c:v>
                </c:pt>
                <c:pt idx="488">
                  <c:v>-57.611055311929633</c:v>
                </c:pt>
                <c:pt idx="489">
                  <c:v>-57.882946820576038</c:v>
                </c:pt>
                <c:pt idx="490">
                  <c:v>-58.156964399343195</c:v>
                </c:pt>
                <c:pt idx="491">
                  <c:v>-58.433134117957614</c:v>
                </c:pt>
                <c:pt idx="492">
                  <c:v>-58.711480176500679</c:v>
                </c:pt>
                <c:pt idx="493">
                  <c:v>-58.992024813295778</c:v>
                </c:pt>
                <c:pt idx="494">
                  <c:v>-59.274788218928904</c:v>
                </c:pt>
                <c:pt idx="495">
                  <c:v>-59.559788457106023</c:v>
                </c:pt>
                <c:pt idx="496">
                  <c:v>-59.847041393008809</c:v>
                </c:pt>
                <c:pt idx="497">
                  <c:v>-60.13656062975754</c:v>
                </c:pt>
                <c:pt idx="498">
                  <c:v>-60.428357453532172</c:v>
                </c:pt>
                <c:pt idx="499">
                  <c:v>-60.722440787831495</c:v>
                </c:pt>
                <c:pt idx="500">
                  <c:v>-61.018817157278001</c:v>
                </c:pt>
                <c:pt idx="501">
                  <c:v>-61.317490661293512</c:v>
                </c:pt>
                <c:pt idx="502">
                  <c:v>-61.618462957884368</c:v>
                </c:pt>
                <c:pt idx="503">
                  <c:v>-61.921733257685673</c:v>
                </c:pt>
                <c:pt idx="504">
                  <c:v>-62.227298328322121</c:v>
                </c:pt>
                <c:pt idx="505">
                  <c:v>-62.535152509050754</c:v>
                </c:pt>
                <c:pt idx="506">
                  <c:v>-62.845287735555544</c:v>
                </c:pt>
                <c:pt idx="507">
                  <c:v>-63.157693574678639</c:v>
                </c:pt>
                <c:pt idx="508">
                  <c:v>-63.472357268780257</c:v>
                </c:pt>
                <c:pt idx="509">
                  <c:v>-63.789263789342563</c:v>
                </c:pt>
                <c:pt idx="510">
                  <c:v>-64.108395899350541</c:v>
                </c:pt>
                <c:pt idx="511">
                  <c:v>-64.429734223918146</c:v>
                </c:pt>
                <c:pt idx="512">
                  <c:v>-64.753257328563478</c:v>
                </c:pt>
                <c:pt idx="513">
                  <c:v>-65.078941804484145</c:v>
                </c:pt>
                <c:pt idx="514">
                  <c:v>-65.406762360138345</c:v>
                </c:pt>
                <c:pt idx="515">
                  <c:v>-65.736691918405242</c:v>
                </c:pt>
                <c:pt idx="516">
                  <c:v>-66.068701718569713</c:v>
                </c:pt>
                <c:pt idx="517">
                  <c:v>-66.402761422362261</c:v>
                </c:pt>
                <c:pt idx="518">
                  <c:v>-66.738839223278006</c:v>
                </c:pt>
                <c:pt idx="519">
                  <c:v>-67.07690195840334</c:v>
                </c:pt>
                <c:pt idx="520">
                  <c:v>-67.416915221985661</c:v>
                </c:pt>
                <c:pt idx="521">
                  <c:v>-67.758843480006149</c:v>
                </c:pt>
                <c:pt idx="522">
                  <c:v>-68.102650185036651</c:v>
                </c:pt>
                <c:pt idx="523">
                  <c:v>-68.448297890698854</c:v>
                </c:pt>
                <c:pt idx="524">
                  <c:v>-68.795748365080968</c:v>
                </c:pt>
                <c:pt idx="525">
                  <c:v>-69.144962702506774</c:v>
                </c:pt>
                <c:pt idx="526">
                  <c:v>-69.495901433104279</c:v>
                </c:pt>
                <c:pt idx="527">
                  <c:v>-69.848524629667182</c:v>
                </c:pt>
                <c:pt idx="528">
                  <c:v>-70.202792011353367</c:v>
                </c:pt>
                <c:pt idx="529">
                  <c:v>-70.558663043822477</c:v>
                </c:pt>
                <c:pt idx="530">
                  <c:v>-70.916097035458336</c:v>
                </c:pt>
                <c:pt idx="531">
                  <c:v>-71.275053229385762</c:v>
                </c:pt>
                <c:pt idx="532">
                  <c:v>-71.635490891033641</c:v>
                </c:pt>
                <c:pt idx="533">
                  <c:v>-71.997369391052629</c:v>
                </c:pt>
                <c:pt idx="534">
                  <c:v>-72.360648283439701</c:v>
                </c:pt>
                <c:pt idx="535">
                  <c:v>-72.725287378769423</c:v>
                </c:pt>
                <c:pt idx="536">
                  <c:v>-73.091246812473457</c:v>
                </c:pt>
                <c:pt idx="537">
                  <c:v>-73.458487108151758</c:v>
                </c:pt>
                <c:pt idx="538">
                  <c:v>-73.826969235930392</c:v>
                </c:pt>
                <c:pt idx="539">
                  <c:v>-74.196654665919496</c:v>
                </c:pt>
                <c:pt idx="540">
                  <c:v>-74.567505416850054</c:v>
                </c:pt>
                <c:pt idx="541">
                  <c:v>-74.939484099997799</c:v>
                </c:pt>
              </c:numCache>
            </c:numRef>
          </c:yVal>
          <c:smooth val="1"/>
          <c:extLst>
            <c:ext xmlns:c16="http://schemas.microsoft.com/office/drawing/2014/chart" uri="{C3380CC4-5D6E-409C-BE32-E72D297353CC}">
              <c16:uniqueId val="{00000000-A13D-4DDF-8712-0E4D219187A5}"/>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Control_Loop_Tables!$BG$19:$BG$560</c:f>
              <c:numCache>
                <c:formatCode>General</c:formatCode>
                <c:ptCount val="542"/>
                <c:pt idx="0">
                  <c:v>90.237665651233243</c:v>
                </c:pt>
                <c:pt idx="1">
                  <c:v>90.2431270760123</c:v>
                </c:pt>
                <c:pt idx="2">
                  <c:v>90.248710424005694</c:v>
                </c:pt>
                <c:pt idx="3">
                  <c:v>90.254418161683191</c:v>
                </c:pt>
                <c:pt idx="4">
                  <c:v>90.260252786838052</c:v>
                </c:pt>
                <c:pt idx="5">
                  <c:v>90.26621682751815</c:v>
                </c:pt>
                <c:pt idx="6">
                  <c:v>90.27231284081148</c:v>
                </c:pt>
                <c:pt idx="7">
                  <c:v>90.278543411476278</c:v>
                </c:pt>
                <c:pt idx="8">
                  <c:v>90.284911150403005</c:v>
                </c:pt>
                <c:pt idx="9">
                  <c:v>90.291418692896357</c:v>
                </c:pt>
                <c:pt idx="10">
                  <c:v>90.298068696763337</c:v>
                </c:pt>
                <c:pt idx="11">
                  <c:v>90.304863840194528</c:v>
                </c:pt>
                <c:pt idx="12">
                  <c:v>90.311806819423595</c:v>
                </c:pt>
                <c:pt idx="13">
                  <c:v>90.318900346148524</c:v>
                </c:pt>
                <c:pt idx="14">
                  <c:v>90.326147144699263</c:v>
                </c:pt>
                <c:pt idx="15">
                  <c:v>90.333549948933253</c:v>
                </c:pt>
                <c:pt idx="16">
                  <c:v>90.341111498842224</c:v>
                </c:pt>
                <c:pt idx="17">
                  <c:v>90.348834536848059</c:v>
                </c:pt>
                <c:pt idx="18">
                  <c:v>90.356721803770242</c:v>
                </c:pt>
                <c:pt idx="19">
                  <c:v>90.364776034442244</c:v>
                </c:pt>
                <c:pt idx="20">
                  <c:v>90.37299995295362</c:v>
                </c:pt>
                <c:pt idx="21">
                  <c:v>90.381396267495518</c:v>
                </c:pt>
                <c:pt idx="22">
                  <c:v>90.389967664784294</c:v>
                </c:pt>
                <c:pt idx="23">
                  <c:v>90.398716804037562</c:v>
                </c:pt>
                <c:pt idx="24">
                  <c:v>90.407646310475627</c:v>
                </c:pt>
                <c:pt idx="25">
                  <c:v>90.41675876832025</c:v>
                </c:pt>
                <c:pt idx="26">
                  <c:v>90.426056713262071</c:v>
                </c:pt>
                <c:pt idx="27">
                  <c:v>90.43554262436588</c:v>
                </c:pt>
                <c:pt idx="28">
                  <c:v>90.445218915382085</c:v>
                </c:pt>
                <c:pt idx="29">
                  <c:v>90.455087925433588</c:v>
                </c:pt>
                <c:pt idx="30">
                  <c:v>90.465151909043072</c:v>
                </c:pt>
                <c:pt idx="31">
                  <c:v>90.475413025467802</c:v>
                </c:pt>
                <c:pt idx="32">
                  <c:v>90.485873327305512</c:v>
                </c:pt>
                <c:pt idx="33">
                  <c:v>90.496534748338178</c:v>
                </c:pt>
                <c:pt idx="34">
                  <c:v>90.50739909057458</c:v>
                </c:pt>
                <c:pt idx="35">
                  <c:v>90.518468010457497</c:v>
                </c:pt>
                <c:pt idx="36">
                  <c:v>90.529743004197798</c:v>
                </c:pt>
                <c:pt idx="37">
                  <c:v>90.541225392197731</c:v>
                </c:pt>
                <c:pt idx="38">
                  <c:v>90.552916302530249</c:v>
                </c:pt>
                <c:pt idx="39">
                  <c:v>90.564816653433894</c:v>
                </c:pt>
                <c:pt idx="40">
                  <c:v>90.576927134792271</c:v>
                </c:pt>
                <c:pt idx="41">
                  <c:v>90.589248188562578</c:v>
                </c:pt>
                <c:pt idx="42">
                  <c:v>90.601779988121763</c:v>
                </c:pt>
                <c:pt idx="43">
                  <c:v>90.614522416500066</c:v>
                </c:pt>
                <c:pt idx="44">
                  <c:v>90.627475043474604</c:v>
                </c:pt>
                <c:pt idx="45">
                  <c:v>90.640637101502094</c:v>
                </c:pt>
                <c:pt idx="46">
                  <c:v>90.654007460465962</c:v>
                </c:pt>
                <c:pt idx="47">
                  <c:v>90.66758460122621</c:v>
                </c:pt>
                <c:pt idx="48">
                  <c:v>90.68136658796189</c:v>
                </c:pt>
                <c:pt idx="49">
                  <c:v>90.695351039301457</c:v>
                </c:pt>
                <c:pt idx="50">
                  <c:v>90.709535098244601</c:v>
                </c:pt>
                <c:pt idx="51">
                  <c:v>90.723915400888544</c:v>
                </c:pt>
                <c:pt idx="52">
                  <c:v>90.738488043978819</c:v>
                </c:pt>
                <c:pt idx="53">
                  <c:v>90.7532485513144</c:v>
                </c:pt>
                <c:pt idx="54">
                  <c:v>90.768191839052989</c:v>
                </c:pt>
                <c:pt idx="55">
                  <c:v>90.783312179967794</c:v>
                </c:pt>
                <c:pt idx="56">
                  <c:v>90.798603166727702</c:v>
                </c:pt>
                <c:pt idx="57">
                  <c:v>90.814057674284285</c:v>
                </c:pt>
                <c:pt idx="58">
                  <c:v>90.829667821466444</c:v>
                </c:pt>
                <c:pt idx="59">
                  <c:v>90.845424931901448</c:v>
                </c:pt>
                <c:pt idx="60">
                  <c:v>90.861319494401897</c:v>
                </c:pt>
                <c:pt idx="61">
                  <c:v>90.877341122976233</c:v>
                </c:pt>
                <c:pt idx="62">
                  <c:v>90.893478516643569</c:v>
                </c:pt>
                <c:pt idx="63">
                  <c:v>90.909719419259446</c:v>
                </c:pt>
                <c:pt idx="64">
                  <c:v>90.926050579577378</c:v>
                </c:pt>
                <c:pt idx="65">
                  <c:v>90.942457711802732</c:v>
                </c:pt>
                <c:pt idx="66">
                  <c:v>90.958925456918308</c:v>
                </c:pt>
                <c:pt idx="67">
                  <c:v>90.975437345088281</c:v>
                </c:pt>
                <c:pt idx="68">
                  <c:v>90.991975759474357</c:v>
                </c:pt>
                <c:pt idx="69">
                  <c:v>91.008521901824153</c:v>
                </c:pt>
                <c:pt idx="70">
                  <c:v>91.025055760221989</c:v>
                </c:pt>
                <c:pt idx="71">
                  <c:v>91.041556079413667</c:v>
                </c:pt>
                <c:pt idx="72">
                  <c:v>91.058000334145106</c:v>
                </c:pt>
                <c:pt idx="73">
                  <c:v>91.074364705975626</c:v>
                </c:pt>
                <c:pt idx="74">
                  <c:v>91.090624064048683</c:v>
                </c:pt>
                <c:pt idx="75">
                  <c:v>91.106751950319676</c:v>
                </c:pt>
                <c:pt idx="76">
                  <c:v>91.122720569755259</c:v>
                </c:pt>
                <c:pt idx="77">
                  <c:v>91.138500786027095</c:v>
                </c:pt>
                <c:pt idx="78">
                  <c:v>91.154062123229778</c:v>
                </c:pt>
                <c:pt idx="79">
                  <c:v>91.169372774145771</c:v>
                </c:pt>
                <c:pt idx="80">
                  <c:v>91.184399615581285</c:v>
                </c:pt>
                <c:pt idx="81">
                  <c:v>91.199108231272959</c:v>
                </c:pt>
                <c:pt idx="82">
                  <c:v>91.213462942843037</c:v>
                </c:pt>
                <c:pt idx="83">
                  <c:v>91.227426849255636</c:v>
                </c:pt>
                <c:pt idx="84">
                  <c:v>91.240961875171521</c:v>
                </c:pt>
                <c:pt idx="85">
                  <c:v>91.254028828563307</c:v>
                </c:pt>
                <c:pt idx="86">
                  <c:v>91.266587467872341</c:v>
                </c:pt>
                <c:pt idx="87">
                  <c:v>91.27859657893535</c:v>
                </c:pt>
                <c:pt idx="88">
                  <c:v>91.290014061808321</c:v>
                </c:pt>
                <c:pt idx="89">
                  <c:v>91.300797027535367</c:v>
                </c:pt>
                <c:pt idx="90">
                  <c:v>91.310901904798982</c:v>
                </c:pt>
                <c:pt idx="91">
                  <c:v>91.320284556280825</c:v>
                </c:pt>
                <c:pt idx="92">
                  <c:v>91.328900404439551</c:v>
                </c:pt>
                <c:pt idx="93">
                  <c:v>91.336704566285647</c:v>
                </c:pt>
                <c:pt idx="94">
                  <c:v>91.343651996601182</c:v>
                </c:pt>
                <c:pt idx="95">
                  <c:v>91.349697638923502</c:v>
                </c:pt>
                <c:pt idx="96">
                  <c:v>91.354796583458139</c:v>
                </c:pt>
                <c:pt idx="97">
                  <c:v>91.358904230976009</c:v>
                </c:pt>
                <c:pt idx="98">
                  <c:v>91.361976461591055</c:v>
                </c:pt>
                <c:pt idx="99">
                  <c:v>91.363969807215213</c:v>
                </c:pt>
                <c:pt idx="100">
                  <c:v>91.364841626350866</c:v>
                </c:pt>
                <c:pt idx="101">
                  <c:v>91.36455027978856</c:v>
                </c:pt>
                <c:pt idx="102">
                  <c:v>91.363055305688064</c:v>
                </c:pt>
                <c:pt idx="103">
                  <c:v>91.360317592444375</c:v>
                </c:pt>
                <c:pt idx="104">
                  <c:v>91.356299547697361</c:v>
                </c:pt>
                <c:pt idx="105">
                  <c:v>91.350965261802813</c:v>
                </c:pt>
                <c:pt idx="106">
                  <c:v>91.344280664092963</c:v>
                </c:pt>
                <c:pt idx="107">
                  <c:v>91.336213670262325</c:v>
                </c:pt>
                <c:pt idx="108">
                  <c:v>91.326734319268795</c:v>
                </c:pt>
                <c:pt idx="109">
                  <c:v>91.315814898208203</c:v>
                </c:pt>
                <c:pt idx="110">
                  <c:v>91.303430053726004</c:v>
                </c:pt>
                <c:pt idx="111">
                  <c:v>91.289556888643261</c:v>
                </c:pt>
                <c:pt idx="112">
                  <c:v>91.274175042641943</c:v>
                </c:pt>
                <c:pt idx="113">
                  <c:v>91.257266755991225</c:v>
                </c:pt>
                <c:pt idx="114">
                  <c:v>91.238816915524865</c:v>
                </c:pt>
                <c:pt idx="115">
                  <c:v>91.218813082240061</c:v>
                </c:pt>
                <c:pt idx="116">
                  <c:v>91.197245500139189</c:v>
                </c:pt>
                <c:pt idx="117">
                  <c:v>91.17410708613393</c:v>
                </c:pt>
                <c:pt idx="118">
                  <c:v>91.149393401059029</c:v>
                </c:pt>
                <c:pt idx="119">
                  <c:v>91.123102602083165</c:v>
                </c:pt>
                <c:pt idx="120">
                  <c:v>91.095235376997039</c:v>
                </c:pt>
                <c:pt idx="121">
                  <c:v>91.065794861094219</c:v>
                </c:pt>
                <c:pt idx="122">
                  <c:v>91.034786537533108</c:v>
                </c:pt>
                <c:pt idx="123">
                  <c:v>91.002218122265788</c:v>
                </c:pt>
                <c:pt idx="124">
                  <c:v>90.968099434762024</c:v>
                </c:pt>
                <c:pt idx="125">
                  <c:v>90.932442255911525</c:v>
                </c:pt>
                <c:pt idx="126">
                  <c:v>90.895260174579391</c:v>
                </c:pt>
                <c:pt idx="127">
                  <c:v>90.856568424397324</c:v>
                </c:pt>
                <c:pt idx="128">
                  <c:v>90.816383712412161</c:v>
                </c:pt>
                <c:pt idx="129">
                  <c:v>90.774724041268726</c:v>
                </c:pt>
                <c:pt idx="130">
                  <c:v>90.731608526593561</c:v>
                </c:pt>
                <c:pt idx="131">
                  <c:v>90.687057211242333</c:v>
                </c:pt>
                <c:pt idx="132">
                  <c:v>90.641090878025594</c:v>
                </c:pt>
                <c:pt idx="133">
                  <c:v>90.593730862471887</c:v>
                </c:pt>
                <c:pt idx="134">
                  <c:v>90.544998867104553</c:v>
                </c:pt>
                <c:pt idx="135">
                  <c:v>90.494916778609337</c:v>
                </c:pt>
                <c:pt idx="136">
                  <c:v>90.443506489169195</c:v>
                </c:pt>
                <c:pt idx="137">
                  <c:v>90.390789723110018</c:v>
                </c:pt>
                <c:pt idx="138">
                  <c:v>90.336787869882983</c:v>
                </c:pt>
                <c:pt idx="139">
                  <c:v>90.281521824262981</c:v>
                </c:pt>
                <c:pt idx="140">
                  <c:v>90.225011834526256</c:v>
                </c:pt>
                <c:pt idx="141">
                  <c:v>90.167277359208114</c:v>
                </c:pt>
                <c:pt idx="142">
                  <c:v>90.108336932931607</c:v>
                </c:pt>
                <c:pt idx="143">
                  <c:v>90.048208041652373</c:v>
                </c:pt>
                <c:pt idx="144">
                  <c:v>89.986907007547316</c:v>
                </c:pt>
                <c:pt idx="145">
                  <c:v>89.924448883661285</c:v>
                </c:pt>
                <c:pt idx="146">
                  <c:v>89.860847358309599</c:v>
                </c:pt>
                <c:pt idx="147">
                  <c:v>89.796114669143577</c:v>
                </c:pt>
                <c:pt idx="148">
                  <c:v>89.730261526693752</c:v>
                </c:pt>
                <c:pt idx="149">
                  <c:v>89.663297047133227</c:v>
                </c:pt>
                <c:pt idx="150">
                  <c:v>89.595228693923204</c:v>
                </c:pt>
                <c:pt idx="151">
                  <c:v>89.526062227961347</c:v>
                </c:pt>
                <c:pt idx="152">
                  <c:v>89.455801665798887</c:v>
                </c:pt>
                <c:pt idx="153">
                  <c:v>89.384449245447698</c:v>
                </c:pt>
                <c:pt idx="154">
                  <c:v>89.312005399290129</c:v>
                </c:pt>
                <c:pt idx="155">
                  <c:v>89.238468733560097</c:v>
                </c:pt>
                <c:pt idx="156">
                  <c:v>89.163836013874842</c:v>
                </c:pt>
                <c:pt idx="157">
                  <c:v>89.088102156272953</c:v>
                </c:pt>
                <c:pt idx="158">
                  <c:v>89.011260223232156</c:v>
                </c:pt>
                <c:pt idx="159">
                  <c:v>88.933301424132125</c:v>
                </c:pt>
                <c:pt idx="160">
                  <c:v>88.854215119652366</c:v>
                </c:pt>
                <c:pt idx="161">
                  <c:v>88.773988829601862</c:v>
                </c:pt>
                <c:pt idx="162">
                  <c:v>88.692608243702992</c:v>
                </c:pt>
                <c:pt idx="163">
                  <c:v>88.610057234865764</c:v>
                </c:pt>
                <c:pt idx="164">
                  <c:v>88.526317874524651</c:v>
                </c:pt>
                <c:pt idx="165">
                  <c:v>88.441370449621203</c:v>
                </c:pt>
                <c:pt idx="166">
                  <c:v>88.355193480853984</c:v>
                </c:pt>
                <c:pt idx="167">
                  <c:v>88.267763741837811</c:v>
                </c:pt>
                <c:pt idx="168">
                  <c:v>88.179056278844257</c:v>
                </c:pt>
                <c:pt idx="169">
                  <c:v>88.089044430818817</c:v>
                </c:pt>
                <c:pt idx="170">
                  <c:v>87.997699849402622</c:v>
                </c:pt>
                <c:pt idx="171">
                  <c:v>87.904992518705029</c:v>
                </c:pt>
                <c:pt idx="172">
                  <c:v>87.810890774606307</c:v>
                </c:pt>
                <c:pt idx="173">
                  <c:v>87.715361323384954</c:v>
                </c:pt>
                <c:pt idx="174">
                  <c:v>87.618369259494131</c:v>
                </c:pt>
                <c:pt idx="175">
                  <c:v>87.519878082328333</c:v>
                </c:pt>
                <c:pt idx="176">
                  <c:v>87.419849711845899</c:v>
                </c:pt>
                <c:pt idx="177">
                  <c:v>87.318244502925367</c:v>
                </c:pt>
                <c:pt idx="178">
                  <c:v>87.215021258359158</c:v>
                </c:pt>
                <c:pt idx="179">
                  <c:v>87.110137240396682</c:v>
                </c:pt>
                <c:pt idx="180">
                  <c:v>87.003548180769243</c:v>
                </c:pt>
                <c:pt idx="181">
                  <c:v>86.895208289138452</c:v>
                </c:pt>
                <c:pt idx="182">
                  <c:v>86.785070259928318</c:v>
                </c:pt>
                <c:pt idx="183">
                  <c:v>86.673085277502111</c:v>
                </c:pt>
                <c:pt idx="184">
                  <c:v>86.559203019668232</c:v>
                </c:pt>
                <c:pt idx="185">
                  <c:v>86.443371659496094</c:v>
                </c:pt>
                <c:pt idx="186">
                  <c:v>86.325537865441063</c:v>
                </c:pt>
                <c:pt idx="187">
                  <c:v>86.20564679977646</c:v>
                </c:pt>
                <c:pt idx="188">
                  <c:v>86.083642115345469</c:v>
                </c:pt>
                <c:pt idx="189">
                  <c:v>85.959465950643235</c:v>
                </c:pt>
                <c:pt idx="190">
                  <c:v>85.833058923251556</c:v>
                </c:pt>
                <c:pt idx="191">
                  <c:v>85.704360121648151</c:v>
                </c:pt>
                <c:pt idx="192">
                  <c:v>85.573307095420489</c:v>
                </c:pt>
                <c:pt idx="193">
                  <c:v>85.439835843914494</c:v>
                </c:pt>
                <c:pt idx="194">
                  <c:v>85.303880803353366</c:v>
                </c:pt>
                <c:pt idx="195">
                  <c:v>85.165374832465716</c:v>
                </c:pt>
                <c:pt idx="196">
                  <c:v>85.024249196663348</c:v>
                </c:pt>
                <c:pt idx="197">
                  <c:v>84.880433550810565</c:v>
                </c:pt>
                <c:pt idx="198">
                  <c:v>84.733855920633872</c:v>
                </c:pt>
                <c:pt idx="199">
                  <c:v>84.584442682817823</c:v>
                </c:pt>
                <c:pt idx="200">
                  <c:v>84.432118543839721</c:v>
                </c:pt>
                <c:pt idx="201">
                  <c:v>84.276806517595531</c:v>
                </c:pt>
                <c:pt idx="202">
                  <c:v>84.118427901872948</c:v>
                </c:pt>
                <c:pt idx="203">
                  <c:v>83.956902253730462</c:v>
                </c:pt>
                <c:pt idx="204">
                  <c:v>83.792147363844649</c:v>
                </c:pt>
                <c:pt idx="205">
                  <c:v>83.624079229888679</c:v>
                </c:pt>
                <c:pt idx="206">
                  <c:v>83.4526120290123</c:v>
                </c:pt>
                <c:pt idx="207">
                  <c:v>83.277658089494054</c:v>
                </c:pt>
                <c:pt idx="208">
                  <c:v>83.099127861642032</c:v>
                </c:pt>
                <c:pt idx="209">
                  <c:v>82.91692988802464</c:v>
                </c:pt>
                <c:pt idx="210">
                  <c:v>82.730970773115814</c:v>
                </c:pt>
                <c:pt idx="211">
                  <c:v>82.541155152447018</c:v>
                </c:pt>
                <c:pt idx="212">
                  <c:v>82.347385661363305</c:v>
                </c:pt>
                <c:pt idx="213">
                  <c:v>82.149562903487066</c:v>
                </c:pt>
                <c:pt idx="214">
                  <c:v>81.947585418999253</c:v>
                </c:pt>
                <c:pt idx="215">
                  <c:v>81.741349652859881</c:v>
                </c:pt>
                <c:pt idx="216">
                  <c:v>81.530749923091733</c:v>
                </c:pt>
                <c:pt idx="217">
                  <c:v>81.315678389266594</c:v>
                </c:pt>
                <c:pt idx="218">
                  <c:v>81.096025021337056</c:v>
                </c:pt>
                <c:pt idx="219">
                  <c:v>80.871677568974235</c:v>
                </c:pt>
                <c:pt idx="220">
                  <c:v>80.642521531575042</c:v>
                </c:pt>
                <c:pt idx="221">
                  <c:v>80.408440129122042</c:v>
                </c:pt>
                <c:pt idx="222">
                  <c:v>80.169314274086275</c:v>
                </c:pt>
                <c:pt idx="223">
                  <c:v>79.925022544579207</c:v>
                </c:pt>
                <c:pt idx="224">
                  <c:v>79.675441158972788</c:v>
                </c:pt>
                <c:pt idx="225">
                  <c:v>79.420443952221135</c:v>
                </c:pt>
                <c:pt idx="226">
                  <c:v>79.159902354133919</c:v>
                </c:pt>
                <c:pt idx="227">
                  <c:v>78.893685369864372</c:v>
                </c:pt>
                <c:pt idx="228">
                  <c:v>78.62165956289499</c:v>
                </c:pt>
                <c:pt idx="229">
                  <c:v>78.343689040813459</c:v>
                </c:pt>
                <c:pt idx="230">
                  <c:v>78.059635444198094</c:v>
                </c:pt>
                <c:pt idx="231">
                  <c:v>77.769357938938654</c:v>
                </c:pt>
                <c:pt idx="232">
                  <c:v>77.472713212341432</c:v>
                </c:pt>
                <c:pt idx="233">
                  <c:v>77.169555473383113</c:v>
                </c:pt>
                <c:pt idx="234">
                  <c:v>76.859736457492431</c:v>
                </c:pt>
                <c:pt idx="235">
                  <c:v>76.543105436256397</c:v>
                </c:pt>
                <c:pt idx="236">
                  <c:v>76.219509232463437</c:v>
                </c:pt>
                <c:pt idx="237">
                  <c:v>75.888792240907492</c:v>
                </c:pt>
                <c:pt idx="238">
                  <c:v>75.550796455395073</c:v>
                </c:pt>
                <c:pt idx="239">
                  <c:v>75.205361502403733</c:v>
                </c:pt>
                <c:pt idx="240">
                  <c:v>74.852324681859614</c:v>
                </c:pt>
                <c:pt idx="241">
                  <c:v>74.491521015498307</c:v>
                </c:pt>
                <c:pt idx="242">
                  <c:v>74.122783303294455</c:v>
                </c:pt>
                <c:pt idx="243">
                  <c:v>73.745942188442811</c:v>
                </c:pt>
                <c:pt idx="244">
                  <c:v>73.360826231372883</c:v>
                </c:pt>
                <c:pt idx="245">
                  <c:v>72.967261993293931</c:v>
                </c:pt>
                <c:pt idx="246">
                  <c:v>72.565074129748425</c:v>
                </c:pt>
                <c:pt idx="247">
                  <c:v>72.154085494660166</c:v>
                </c:pt>
                <c:pt idx="248">
                  <c:v>71.73411725535081</c:v>
                </c:pt>
                <c:pt idx="249">
                  <c:v>71.30498901898757</c:v>
                </c:pt>
                <c:pt idx="250">
                  <c:v>70.866518970919302</c:v>
                </c:pt>
                <c:pt idx="251">
                  <c:v>70.418524025331763</c:v>
                </c:pt>
                <c:pt idx="252">
                  <c:v>69.960819988647614</c:v>
                </c:pt>
                <c:pt idx="253">
                  <c:v>69.493221736064797</c:v>
                </c:pt>
                <c:pt idx="254">
                  <c:v>69.015543401614082</c:v>
                </c:pt>
                <c:pt idx="255">
                  <c:v>68.527598582082561</c:v>
                </c:pt>
                <c:pt idx="256">
                  <c:v>68.029200555131624</c:v>
                </c:pt>
                <c:pt idx="257">
                  <c:v>67.520162511899642</c:v>
                </c:pt>
                <c:pt idx="258">
                  <c:v>67.000297804356748</c:v>
                </c:pt>
                <c:pt idx="259">
                  <c:v>66.469420207640368</c:v>
                </c:pt>
                <c:pt idx="260">
                  <c:v>65.927344197570349</c:v>
                </c:pt>
                <c:pt idx="261">
                  <c:v>65.373885243502798</c:v>
                </c:pt>
                <c:pt idx="262">
                  <c:v>64.808860116646414</c:v>
                </c:pt>
                <c:pt idx="263">
                  <c:v>64.232087213928182</c:v>
                </c:pt>
                <c:pt idx="264">
                  <c:v>63.643386897446533</c:v>
                </c:pt>
                <c:pt idx="265">
                  <c:v>63.042581849516942</c:v>
                </c:pt>
                <c:pt idx="266">
                  <c:v>62.429497443260679</c:v>
                </c:pt>
                <c:pt idx="267">
                  <c:v>61.803962128644152</c:v>
                </c:pt>
                <c:pt idx="268">
                  <c:v>61.165807833820537</c:v>
                </c:pt>
                <c:pt idx="269">
                  <c:v>60.514870381570745</c:v>
                </c:pt>
                <c:pt idx="270">
                  <c:v>59.85098992057808</c:v>
                </c:pt>
                <c:pt idx="271">
                  <c:v>59.174011371205545</c:v>
                </c:pt>
                <c:pt idx="272">
                  <c:v>58.483784885369609</c:v>
                </c:pt>
                <c:pt idx="273">
                  <c:v>57.780166320022602</c:v>
                </c:pt>
                <c:pt idx="274">
                  <c:v>57.063017723669311</c:v>
                </c:pt>
                <c:pt idx="275">
                  <c:v>56.332207835246749</c:v>
                </c:pt>
                <c:pt idx="276">
                  <c:v>55.587612594584449</c:v>
                </c:pt>
                <c:pt idx="277">
                  <c:v>54.82911566355628</c:v>
                </c:pt>
                <c:pt idx="278">
                  <c:v>54.056608956893982</c:v>
                </c:pt>
                <c:pt idx="279">
                  <c:v>53.269993181520924</c:v>
                </c:pt>
                <c:pt idx="280">
                  <c:v>52.469178383094331</c:v>
                </c:pt>
                <c:pt idx="281">
                  <c:v>51.65408449831267</c:v>
                </c:pt>
                <c:pt idx="282">
                  <c:v>50.824641911375586</c:v>
                </c:pt>
                <c:pt idx="283">
                  <c:v>49.980792012819833</c:v>
                </c:pt>
                <c:pt idx="284">
                  <c:v>49.122487758782007</c:v>
                </c:pt>
                <c:pt idx="285">
                  <c:v>48.249694228574427</c:v>
                </c:pt>
                <c:pt idx="286">
                  <c:v>47.362389178280836</c:v>
                </c:pt>
                <c:pt idx="287">
                  <c:v>46.460563587907707</c:v>
                </c:pt>
                <c:pt idx="288">
                  <c:v>45.544222199477623</c:v>
                </c:pt>
                <c:pt idx="289">
                  <c:v>44.613384043273442</c:v>
                </c:pt>
                <c:pt idx="290">
                  <c:v>43.668082949322446</c:v>
                </c:pt>
                <c:pt idx="291">
                  <c:v>42.708368041071594</c:v>
                </c:pt>
                <c:pt idx="292">
                  <c:v>41.734304208093079</c:v>
                </c:pt>
                <c:pt idx="293">
                  <c:v>40.745972554590395</c:v>
                </c:pt>
                <c:pt idx="294">
                  <c:v>39.743470820396162</c:v>
                </c:pt>
                <c:pt idx="295">
                  <c:v>38.726913771140943</c:v>
                </c:pt>
                <c:pt idx="296">
                  <c:v>37.696433554260096</c:v>
                </c:pt>
                <c:pt idx="297">
                  <c:v>36.652180017546918</c:v>
                </c:pt>
                <c:pt idx="298">
                  <c:v>35.594320987026499</c:v>
                </c:pt>
                <c:pt idx="299">
                  <c:v>34.523042501034666</c:v>
                </c:pt>
                <c:pt idx="300">
                  <c:v>33.438548997524911</c:v>
                </c:pt>
                <c:pt idx="301">
                  <c:v>32.341063451808715</c:v>
                </c:pt>
                <c:pt idx="302">
                  <c:v>31.230827462147769</c:v>
                </c:pt>
                <c:pt idx="303">
                  <c:v>30.108101280868805</c:v>
                </c:pt>
                <c:pt idx="304">
                  <c:v>28.973163788946938</c:v>
                </c:pt>
                <c:pt idx="305">
                  <c:v>27.826312412316771</c:v>
                </c:pt>
                <c:pt idx="306">
                  <c:v>26.667862978503873</c:v>
                </c:pt>
                <c:pt idx="307">
                  <c:v>25.498149512518797</c:v>
                </c:pt>
                <c:pt idx="308">
                  <c:v>24.317523971329752</c:v>
                </c:pt>
                <c:pt idx="309">
                  <c:v>23.126355916611011</c:v>
                </c:pt>
                <c:pt idx="310">
                  <c:v>21.925032125841124</c:v>
                </c:pt>
                <c:pt idx="311">
                  <c:v>20.713956142223225</c:v>
                </c:pt>
                <c:pt idx="312">
                  <c:v>19.493547764264196</c:v>
                </c:pt>
                <c:pt idx="313">
                  <c:v>18.264242476234291</c:v>
                </c:pt>
                <c:pt idx="314">
                  <c:v>17.026490821070603</c:v>
                </c:pt>
                <c:pt idx="315">
                  <c:v>15.780757717631236</c:v>
                </c:pt>
                <c:pt idx="316">
                  <c:v>14.527521724514809</c:v>
                </c:pt>
                <c:pt idx="317">
                  <c:v>13.267274252954374</c:v>
                </c:pt>
                <c:pt idx="318">
                  <c:v>12.000518731544387</c:v>
                </c:pt>
                <c:pt idx="319">
                  <c:v>10.727769725807818</c:v>
                </c:pt>
                <c:pt idx="320">
                  <c:v>9.4495520157938593</c:v>
                </c:pt>
                <c:pt idx="321">
                  <c:v>8.1663996350980188</c:v>
                </c:pt>
                <c:pt idx="322">
                  <c:v>6.8788548748184555</c:v>
                </c:pt>
                <c:pt idx="323">
                  <c:v>5.5874672561083321</c:v>
                </c:pt>
                <c:pt idx="324">
                  <c:v>4.2927924750705806</c:v>
                </c:pt>
                <c:pt idx="325">
                  <c:v>2.9953913238313388</c:v>
                </c:pt>
                <c:pt idx="326">
                  <c:v>1.6958285916917228</c:v>
                </c:pt>
                <c:pt idx="327">
                  <c:v>0.39467195029137719</c:v>
                </c:pt>
                <c:pt idx="328">
                  <c:v>-0.90750917322190949</c:v>
                </c:pt>
                <c:pt idx="329">
                  <c:v>-2.2101447310228219</c:v>
                </c:pt>
                <c:pt idx="330">
                  <c:v>-3.5126651934027007</c:v>
                </c:pt>
                <c:pt idx="331">
                  <c:v>-4.8145026875032313</c:v>
                </c:pt>
                <c:pt idx="332">
                  <c:v>-6.1150921319425224</c:v>
                </c:pt>
                <c:pt idx="333">
                  <c:v>-7.4138723633054049</c:v>
                </c:pt>
                <c:pt idx="334">
                  <c:v>-8.7102872504644733</c:v>
                </c:pt>
                <c:pt idx="335">
                  <c:v>-10.003786792730322</c:v>
                </c:pt>
                <c:pt idx="336">
                  <c:v>-11.293828197844356</c:v>
                </c:pt>
                <c:pt idx="337">
                  <c:v>-12.579876935890448</c:v>
                </c:pt>
                <c:pt idx="338">
                  <c:v>-13.861407765232725</c:v>
                </c:pt>
                <c:pt idx="339">
                  <c:v>-15.137905726683011</c:v>
                </c:pt>
                <c:pt idx="340">
                  <c:v>-16.408867102186768</c:v>
                </c:pt>
                <c:pt idx="341">
                  <c:v>-17.673800334445737</c:v>
                </c:pt>
                <c:pt idx="342">
                  <c:v>-18.932226904030266</c:v>
                </c:pt>
                <c:pt idx="343">
                  <c:v>-20.183682160710596</c:v>
                </c:pt>
                <c:pt idx="344">
                  <c:v>-21.427716105954204</c:v>
                </c:pt>
                <c:pt idx="345">
                  <c:v>-22.663894123738288</c:v>
                </c:pt>
                <c:pt idx="346">
                  <c:v>-23.891797657118069</c:v>
                </c:pt>
                <c:pt idx="347">
                  <c:v>-25.111024828254642</c:v>
                </c:pt>
                <c:pt idx="348">
                  <c:v>-26.321190999940725</c:v>
                </c:pt>
                <c:pt idx="349">
                  <c:v>-27.52192927698837</c:v>
                </c:pt>
                <c:pt idx="350">
                  <c:v>-28.712890946200371</c:v>
                </c:pt>
                <c:pt idx="351">
                  <c:v>-29.893745854031739</c:v>
                </c:pt>
                <c:pt idx="352">
                  <c:v>-31.064182721421702</c:v>
                </c:pt>
                <c:pt idx="353">
                  <c:v>-32.223909395671321</c:v>
                </c:pt>
                <c:pt idx="354">
                  <c:v>-33.372653039644064</c:v>
                </c:pt>
                <c:pt idx="355">
                  <c:v>-34.510160258934484</c:v>
                </c:pt>
                <c:pt idx="356">
                  <c:v>-35.63619716806226</c:v>
                </c:pt>
                <c:pt idx="357">
                  <c:v>-36.750549397078913</c:v>
                </c:pt>
                <c:pt idx="358">
                  <c:v>-37.853022040353871</c:v>
                </c:pt>
                <c:pt idx="359">
                  <c:v>-38.943439549606353</c:v>
                </c:pt>
                <c:pt idx="360">
                  <c:v>-40.021645573563156</c:v>
                </c:pt>
                <c:pt idx="361">
                  <c:v>-41.087502746879849</c:v>
                </c:pt>
                <c:pt idx="362">
                  <c:v>-42.140892431201173</c:v>
                </c:pt>
                <c:pt idx="363">
                  <c:v>-43.181714411437937</c:v>
                </c:pt>
                <c:pt idx="364">
                  <c:v>-44.209886550496194</c:v>
                </c:pt>
                <c:pt idx="365">
                  <c:v>-45.225344405828665</c:v>
                </c:pt>
                <c:pt idx="366">
                  <c:v>-46.228040811271221</c:v>
                </c:pt>
                <c:pt idx="367">
                  <c:v>-47.217945427673307</c:v>
                </c:pt>
                <c:pt idx="368">
                  <c:v>-48.19504426586834</c:v>
                </c:pt>
                <c:pt idx="369">
                  <c:v>-49.15933918551125</c:v>
                </c:pt>
                <c:pt idx="370">
                  <c:v>-50.110847373267859</c:v>
                </c:pt>
                <c:pt idx="371">
                  <c:v>-51.049600803784323</c:v>
                </c:pt>
                <c:pt idx="372">
                  <c:v>-51.975645686757289</c:v>
                </c:pt>
                <c:pt idx="373">
                  <c:v>-52.889041903319644</c:v>
                </c:pt>
                <c:pt idx="374">
                  <c:v>-53.789862434818772</c:v>
                </c:pt>
                <c:pt idx="375">
                  <c:v>-54.678192786908809</c:v>
                </c:pt>
                <c:pt idx="376">
                  <c:v>-55.554130411720415</c:v>
                </c:pt>
                <c:pt idx="377">
                  <c:v>-56.417784130690798</c:v>
                </c:pt>
                <c:pt idx="378">
                  <c:v>-57.269273560454771</c:v>
                </c:pt>
                <c:pt idx="379">
                  <c:v>-58.108728544006112</c:v>
                </c:pt>
                <c:pt idx="380">
                  <c:v>-58.936288589156383</c:v>
                </c:pt>
                <c:pt idx="381">
                  <c:v>-59.75210231611392</c:v>
                </c:pt>
                <c:pt idx="382">
                  <c:v>-60.556326915822538</c:v>
                </c:pt>
                <c:pt idx="383">
                  <c:v>-61.349127620514814</c:v>
                </c:pt>
                <c:pt idx="384">
                  <c:v>-62.130677187742947</c:v>
                </c:pt>
                <c:pt idx="385">
                  <c:v>-62.901155398983441</c:v>
                </c:pt>
                <c:pt idx="386">
                  <c:v>-63.660748573737628</c:v>
                </c:pt>
                <c:pt idx="387">
                  <c:v>-64.409649099889521</c:v>
                </c:pt>
                <c:pt idx="388">
                  <c:v>-65.148054980931633</c:v>
                </c:pt>
                <c:pt idx="389">
                  <c:v>-65.876169400524532</c:v>
                </c:pt>
                <c:pt idx="390">
                  <c:v>-66.594200304722463</c:v>
                </c:pt>
                <c:pt idx="391">
                  <c:v>-67.302360002076526</c:v>
                </c:pt>
                <c:pt idx="392">
                  <c:v>-68.000864781706611</c:v>
                </c:pt>
                <c:pt idx="393">
                  <c:v>-68.689934549334851</c:v>
                </c:pt>
                <c:pt idx="394">
                  <c:v>-69.369792481175807</c:v>
                </c:pt>
                <c:pt idx="395">
                  <c:v>-70.04066469549106</c:v>
                </c:pt>
                <c:pt idx="396">
                  <c:v>-70.702779941542204</c:v>
                </c:pt>
                <c:pt idx="397">
                  <c:v>-71.356369305605284</c:v>
                </c:pt>
                <c:pt idx="398">
                  <c:v>-72.001665933649264</c:v>
                </c:pt>
                <c:pt idx="399">
                  <c:v>-72.638904770230369</c:v>
                </c:pt>
                <c:pt idx="400">
                  <c:v>-73.268322313104164</c:v>
                </c:pt>
                <c:pt idx="401">
                  <c:v>-73.890156383021349</c:v>
                </c:pt>
                <c:pt idx="402">
                  <c:v>-74.504645908137746</c:v>
                </c:pt>
                <c:pt idx="403">
                  <c:v>-75.112030722441659</c:v>
                </c:pt>
                <c:pt idx="404">
                  <c:v>-75.712551377577881</c:v>
                </c:pt>
                <c:pt idx="405">
                  <c:v>-76.306448967429844</c:v>
                </c:pt>
                <c:pt idx="406">
                  <c:v>-76.893964964807338</c:v>
                </c:pt>
                <c:pt idx="407">
                  <c:v>-77.475341069572963</c:v>
                </c:pt>
                <c:pt idx="408">
                  <c:v>-78.050819067538612</c:v>
                </c:pt>
                <c:pt idx="409">
                  <c:v>-78.620640699450718</c:v>
                </c:pt>
                <c:pt idx="410">
                  <c:v>-79.185047539387199</c:v>
                </c:pt>
                <c:pt idx="411">
                  <c:v>-79.744280881882005</c:v>
                </c:pt>
                <c:pt idx="412">
                  <c:v>-80.298581637099119</c:v>
                </c:pt>
                <c:pt idx="413">
                  <c:v>-80.848190233376272</c:v>
                </c:pt>
                <c:pt idx="414">
                  <c:v>-81.393346526464029</c:v>
                </c:pt>
                <c:pt idx="415">
                  <c:v>-81.93428971478906</c:v>
                </c:pt>
                <c:pt idx="416">
                  <c:v>-82.471258260076127</c:v>
                </c:pt>
                <c:pt idx="417">
                  <c:v>-83.004489812666549</c:v>
                </c:pt>
                <c:pt idx="418">
                  <c:v>-83.534221140879069</c:v>
                </c:pt>
                <c:pt idx="419">
                  <c:v>-84.060688063762129</c:v>
                </c:pt>
                <c:pt idx="420">
                  <c:v>-84.584125386593996</c:v>
                </c:pt>
                <c:pt idx="421">
                  <c:v>-85.104766838492679</c:v>
                </c:pt>
                <c:pt idx="422">
                  <c:v>-85.62284501149999</c:v>
                </c:pt>
                <c:pt idx="423">
                  <c:v>-86.138591300516154</c:v>
                </c:pt>
                <c:pt idx="424">
                  <c:v>-86.652235843457547</c:v>
                </c:pt>
                <c:pt idx="425">
                  <c:v>-87.164007461022976</c:v>
                </c:pt>
                <c:pt idx="426">
                  <c:v>-87.6741335954557</c:v>
                </c:pt>
                <c:pt idx="427">
                  <c:v>-88.182840247689313</c:v>
                </c:pt>
                <c:pt idx="428">
                  <c:v>-88.690351912276441</c:v>
                </c:pt>
                <c:pt idx="429">
                  <c:v>-89.196891509503558</c:v>
                </c:pt>
                <c:pt idx="430">
                  <c:v>-89.702680314090514</c:v>
                </c:pt>
                <c:pt idx="431">
                  <c:v>-90.20793787989372</c:v>
                </c:pt>
                <c:pt idx="432">
                  <c:v>-90.712881960022685</c:v>
                </c:pt>
                <c:pt idx="433">
                  <c:v>-91.217728421798398</c:v>
                </c:pt>
                <c:pt idx="434">
                  <c:v>-91.72269115597895</c:v>
                </c:pt>
                <c:pt idx="435">
                  <c:v>-92.227981979692288</c:v>
                </c:pt>
                <c:pt idx="436">
                  <c:v>-92.733810532525212</c:v>
                </c:pt>
                <c:pt idx="437">
                  <c:v>-93.240384165224683</c:v>
                </c:pt>
                <c:pt idx="438">
                  <c:v>-93.747907820485494</c:v>
                </c:pt>
                <c:pt idx="439">
                  <c:v>-94.256583905312041</c:v>
                </c:pt>
                <c:pt idx="440">
                  <c:v>-94.766612154457889</c:v>
                </c:pt>
                <c:pt idx="441">
                  <c:v>-95.278189484472477</c:v>
                </c:pt>
                <c:pt idx="442">
                  <c:v>-95.791509837904613</c:v>
                </c:pt>
                <c:pt idx="443">
                  <c:v>-96.306764017242457</c:v>
                </c:pt>
                <c:pt idx="444">
                  <c:v>-96.824139508202421</c:v>
                </c:pt>
                <c:pt idx="445">
                  <c:v>-97.343820292017924</c:v>
                </c:pt>
                <c:pt idx="446">
                  <c:v>-97.86598664641599</c:v>
                </c:pt>
                <c:pt idx="447">
                  <c:v>-98.390814935026043</c:v>
                </c:pt>
                <c:pt idx="448">
                  <c:v>-98.918477385011187</c:v>
                </c:pt>
                <c:pt idx="449">
                  <c:v>-99.449141852778411</c:v>
                </c:pt>
                <c:pt idx="450">
                  <c:v>-99.982971577689213</c:v>
                </c:pt>
                <c:pt idx="451">
                  <c:v>-100.52012492376446</c:v>
                </c:pt>
                <c:pt idx="452">
                  <c:v>-101.06075510946611</c:v>
                </c:pt>
                <c:pt idx="453">
                  <c:v>-101.60500992572264</c:v>
                </c:pt>
                <c:pt idx="454">
                  <c:v>-102.15303144246286</c:v>
                </c:pt>
                <c:pt idx="455">
                  <c:v>-102.70495570403862</c:v>
                </c:pt>
                <c:pt idx="456">
                  <c:v>-103.26091241401679</c:v>
                </c:pt>
                <c:pt idx="457">
                  <c:v>-103.82102460996018</c:v>
                </c:pt>
                <c:pt idx="458">
                  <c:v>-104.38540832893838</c:v>
                </c:pt>
                <c:pt idx="459">
                  <c:v>-104.95417226465058</c:v>
                </c:pt>
                <c:pt idx="460">
                  <c:v>-105.52741741719424</c:v>
                </c:pt>
                <c:pt idx="461">
                  <c:v>-106.10523673665871</c:v>
                </c:pt>
                <c:pt idx="462">
                  <c:v>-106.68771476189089</c:v>
                </c:pt>
                <c:pt idx="463">
                  <c:v>-107.27492725593879</c:v>
                </c:pt>
                <c:pt idx="464">
                  <c:v>-107.86694083984756</c:v>
                </c:pt>
                <c:pt idx="465">
                  <c:v>-108.46381262665204</c:v>
                </c:pt>
                <c:pt idx="466">
                  <c:v>-109.06558985758167</c:v>
                </c:pt>
                <c:pt idx="467">
                  <c:v>-109.67230954266104</c:v>
                </c:pt>
                <c:pt idx="468">
                  <c:v>-110.28399810804714</c:v>
                </c:pt>
                <c:pt idx="469">
                  <c:v>-110.90067105261581</c:v>
                </c:pt>
                <c:pt idx="470">
                  <c:v>-111.52233261644136</c:v>
                </c:pt>
                <c:pt idx="471">
                  <c:v>-112.14897546396134</c:v>
                </c:pt>
                <c:pt idx="472">
                  <c:v>-112.78058038473313</c:v>
                </c:pt>
                <c:pt idx="473">
                  <c:v>-113.41711601479533</c:v>
                </c:pt>
                <c:pt idx="474">
                  <c:v>-114.05853858171913</c:v>
                </c:pt>
                <c:pt idx="475">
                  <c:v>-114.7047916765034</c:v>
                </c:pt>
                <c:pt idx="476">
                  <c:v>-115.35580605547605</c:v>
                </c:pt>
                <c:pt idx="477">
                  <c:v>-116.01149947537965</c:v>
                </c:pt>
                <c:pt idx="478">
                  <c:v>-116.67177656476028</c:v>
                </c:pt>
                <c:pt idx="479">
                  <c:v>-117.33652873471372</c:v>
                </c:pt>
                <c:pt idx="480">
                  <c:v>-118.00563413192684</c:v>
                </c:pt>
                <c:pt idx="481">
                  <c:v>-118.67895763678419</c:v>
                </c:pt>
                <c:pt idx="482">
                  <c:v>-119.35635090912133</c:v>
                </c:pt>
                <c:pt idx="483">
                  <c:v>-120.03765248395477</c:v>
                </c:pt>
                <c:pt idx="484">
                  <c:v>-120.72268791923028</c:v>
                </c:pt>
                <c:pt idx="485">
                  <c:v>-121.4112699973108</c:v>
                </c:pt>
                <c:pt idx="486">
                  <c:v>-122.1031989815384</c:v>
                </c:pt>
                <c:pt idx="487">
                  <c:v>-122.79826292881722</c:v>
                </c:pt>
                <c:pt idx="488">
                  <c:v>-123.49623805869675</c:v>
                </c:pt>
                <c:pt idx="489">
                  <c:v>-124.19688917898424</c:v>
                </c:pt>
                <c:pt idx="490">
                  <c:v>-124.89997016740094</c:v>
                </c:pt>
                <c:pt idx="491">
                  <c:v>-125.60522450828434</c:v>
                </c:pt>
                <c:pt idx="492">
                  <c:v>-126.31238588281529</c:v>
                </c:pt>
                <c:pt idx="493">
                  <c:v>-127.02117881070457</c:v>
                </c:pt>
                <c:pt idx="494">
                  <c:v>-127.73131934075224</c:v>
                </c:pt>
                <c:pt idx="495">
                  <c:v>-128.44251578717055</c:v>
                </c:pt>
                <c:pt idx="496">
                  <c:v>-129.15446950806751</c:v>
                </c:pt>
                <c:pt idx="497">
                  <c:v>-129.86687572201021</c:v>
                </c:pt>
                <c:pt idx="498">
                  <c:v>-130.57942435816307</c:v>
                </c:pt>
                <c:pt idx="499">
                  <c:v>-131.29180093510712</c:v>
                </c:pt>
                <c:pt idx="500">
                  <c:v>-132.00368746309954</c:v>
                </c:pt>
                <c:pt idx="501">
                  <c:v>-132.71476336426858</c:v>
                </c:pt>
                <c:pt idx="502">
                  <c:v>-133.42470640500852</c:v>
                </c:pt>
                <c:pt idx="503">
                  <c:v>-134.13319363470345</c:v>
                </c:pt>
                <c:pt idx="504">
                  <c:v>-134.83990232481406</c:v>
                </c:pt>
                <c:pt idx="505">
                  <c:v>-135.54451090236935</c:v>
                </c:pt>
                <c:pt idx="506">
                  <c:v>-136.24669987195989</c:v>
                </c:pt>
                <c:pt idx="507">
                  <c:v>-136.94615272045903</c:v>
                </c:pt>
                <c:pt idx="508">
                  <c:v>-137.64255679891482</c:v>
                </c:pt>
                <c:pt idx="509">
                  <c:v>-138.33560417630619</c:v>
                </c:pt>
                <c:pt idx="510">
                  <c:v>-139.02499246018951</c:v>
                </c:pt>
                <c:pt idx="511">
                  <c:v>-139.71042557963585</c:v>
                </c:pt>
                <c:pt idx="512">
                  <c:v>-140.39161452628625</c:v>
                </c:pt>
                <c:pt idx="513">
                  <c:v>-141.06827804981407</c:v>
                </c:pt>
                <c:pt idx="514">
                  <c:v>-141.74014330456495</c:v>
                </c:pt>
                <c:pt idx="515">
                  <c:v>-142.40694644468246</c:v>
                </c:pt>
                <c:pt idx="516">
                  <c:v>-143.06843316553068</c:v>
                </c:pt>
                <c:pt idx="517">
                  <c:v>-143.72435918977544</c:v>
                </c:pt>
                <c:pt idx="518">
                  <c:v>-144.3744906970087</c:v>
                </c:pt>
                <c:pt idx="519">
                  <c:v>-145.01860469632643</c:v>
                </c:pt>
                <c:pt idx="520">
                  <c:v>-145.65648934176588</c:v>
                </c:pt>
                <c:pt idx="521">
                  <c:v>-146.28794419099896</c:v>
                </c:pt>
                <c:pt idx="522">
                  <c:v>-146.91278040811426</c:v>
                </c:pt>
                <c:pt idx="523">
                  <c:v>-147.53082091175517</c:v>
                </c:pt>
                <c:pt idx="524">
                  <c:v>-148.14190047024439</c:v>
                </c:pt>
                <c:pt idx="525">
                  <c:v>-148.74586574567343</c:v>
                </c:pt>
                <c:pt idx="526">
                  <c:v>-149.34257528923385</c:v>
                </c:pt>
                <c:pt idx="527">
                  <c:v>-149.93189949031532</c:v>
                </c:pt>
                <c:pt idx="528">
                  <c:v>-150.51372048210874</c:v>
                </c:pt>
                <c:pt idx="529">
                  <c:v>-151.08793200662726</c:v>
                </c:pt>
                <c:pt idx="530">
                  <c:v>-151.65443924216646</c:v>
                </c:pt>
                <c:pt idx="531">
                  <c:v>-152.21315859633449</c:v>
                </c:pt>
                <c:pt idx="532">
                  <c:v>-152.76401746781048</c:v>
                </c:pt>
                <c:pt idx="533">
                  <c:v>-153.30695398001396</c:v>
                </c:pt>
                <c:pt idx="534">
                  <c:v>-153.84191668984781</c:v>
                </c:pt>
                <c:pt idx="535">
                  <c:v>-154.36886427462298</c:v>
                </c:pt>
                <c:pt idx="536">
                  <c:v>-154.88776520020636</c:v>
                </c:pt>
                <c:pt idx="537">
                  <c:v>-155.39859737333518</c:v>
                </c:pt>
                <c:pt idx="538">
                  <c:v>-155.90134778091846</c:v>
                </c:pt>
                <c:pt idx="539">
                  <c:v>-156.39601211902809</c:v>
                </c:pt>
                <c:pt idx="540">
                  <c:v>-156.88259441412077</c:v>
                </c:pt>
                <c:pt idx="541">
                  <c:v>-157.3611066388963</c:v>
                </c:pt>
              </c:numCache>
            </c:numRef>
          </c:yVal>
          <c:smooth val="1"/>
          <c:extLst>
            <c:ext xmlns:c16="http://schemas.microsoft.com/office/drawing/2014/chart" uri="{C3380CC4-5D6E-409C-BE32-E72D297353CC}">
              <c16:uniqueId val="{00000001-A13D-4DDF-8712-0E4D219187A5}"/>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200"/>
          <c:min val="-1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Control_Loop_Tables!$AP$19:$AP$560</c:f>
              <c:numCache>
                <c:formatCode>General</c:formatCode>
                <c:ptCount val="542"/>
                <c:pt idx="0">
                  <c:v>26.453788637854295</c:v>
                </c:pt>
                <c:pt idx="1">
                  <c:v>26.453542980523004</c:v>
                </c:pt>
                <c:pt idx="2">
                  <c:v>26.453285760703512</c:v>
                </c:pt>
                <c:pt idx="3">
                  <c:v>26.453016434916311</c:v>
                </c:pt>
                <c:pt idx="4">
                  <c:v>26.452734434207635</c:v>
                </c:pt>
                <c:pt idx="5">
                  <c:v>26.452439162961841</c:v>
                </c:pt>
                <c:pt idx="6">
                  <c:v>26.452129997660091</c:v>
                </c:pt>
                <c:pt idx="7">
                  <c:v>26.451806285580886</c:v>
                </c:pt>
                <c:pt idx="8">
                  <c:v>26.451467343441788</c:v>
                </c:pt>
                <c:pt idx="9">
                  <c:v>26.451112455978013</c:v>
                </c:pt>
                <c:pt idx="10">
                  <c:v>26.450740874456681</c:v>
                </c:pt>
                <c:pt idx="11">
                  <c:v>26.450351815122314</c:v>
                </c:pt>
                <c:pt idx="12">
                  <c:v>26.44994445757191</c:v>
                </c:pt>
                <c:pt idx="13">
                  <c:v>26.449517943055678</c:v>
                </c:pt>
                <c:pt idx="14">
                  <c:v>26.449071372699812</c:v>
                </c:pt>
                <c:pt idx="15">
                  <c:v>26.448603805649626</c:v>
                </c:pt>
                <c:pt idx="16">
                  <c:v>26.448114257126988</c:v>
                </c:pt>
                <c:pt idx="17">
                  <c:v>26.447601696400742</c:v>
                </c:pt>
                <c:pt idx="18">
                  <c:v>26.447065044664821</c:v>
                </c:pt>
                <c:pt idx="19">
                  <c:v>26.446503172820851</c:v>
                </c:pt>
                <c:pt idx="20">
                  <c:v>26.445914899160417</c:v>
                </c:pt>
                <c:pt idx="21">
                  <c:v>26.44529898694358</c:v>
                </c:pt>
                <c:pt idx="22">
                  <c:v>26.444654141868554</c:v>
                </c:pt>
                <c:pt idx="23">
                  <c:v>26.443979009428329</c:v>
                </c:pt>
                <c:pt idx="24">
                  <c:v>26.443272172149012</c:v>
                </c:pt>
                <c:pt idx="25">
                  <c:v>26.44253214670578</c:v>
                </c:pt>
                <c:pt idx="26">
                  <c:v>26.441757380910325</c:v>
                </c:pt>
                <c:pt idx="27">
                  <c:v>26.44094625056529</c:v>
                </c:pt>
                <c:pt idx="28">
                  <c:v>26.440097056179784</c:v>
                </c:pt>
                <c:pt idx="29">
                  <c:v>26.439208019540782</c:v>
                </c:pt>
                <c:pt idx="30">
                  <c:v>26.438277280133985</c:v>
                </c:pt>
                <c:pt idx="31">
                  <c:v>26.437302891408642</c:v>
                </c:pt>
                <c:pt idx="32">
                  <c:v>26.436282816879917</c:v>
                </c:pt>
                <c:pt idx="33">
                  <c:v>26.435214926062436</c:v>
                </c:pt>
                <c:pt idx="34">
                  <c:v>26.434096990228628</c:v>
                </c:pt>
                <c:pt idx="35">
                  <c:v>26.432926677984632</c:v>
                </c:pt>
                <c:pt idx="36">
                  <c:v>26.431701550657849</c:v>
                </c:pt>
                <c:pt idx="37">
                  <c:v>26.430419057487789</c:v>
                </c:pt>
                <c:pt idx="38">
                  <c:v>26.42907653061393</c:v>
                </c:pt>
                <c:pt idx="39">
                  <c:v>26.427671179852815</c:v>
                </c:pt>
                <c:pt idx="40">
                  <c:v>26.426200087256831</c:v>
                </c:pt>
                <c:pt idx="41">
                  <c:v>26.424660201447196</c:v>
                </c:pt>
                <c:pt idx="42">
                  <c:v>26.423048331712799</c:v>
                </c:pt>
                <c:pt idx="43">
                  <c:v>26.421361141867592</c:v>
                </c:pt>
                <c:pt idx="44">
                  <c:v>26.419595143858178</c:v>
                </c:pt>
                <c:pt idx="45">
                  <c:v>26.417746691113674</c:v>
                </c:pt>
                <c:pt idx="46">
                  <c:v>26.415811971629267</c:v>
                </c:pt>
                <c:pt idx="47">
                  <c:v>26.413787000775628</c:v>
                </c:pt>
                <c:pt idx="48">
                  <c:v>26.411667613826335</c:v>
                </c:pt>
                <c:pt idx="49">
                  <c:v>26.409449458194434</c:v>
                </c:pt>
                <c:pt idx="50">
                  <c:v>26.40712798537038</c:v>
                </c:pt>
                <c:pt idx="51">
                  <c:v>26.404698442553869</c:v>
                </c:pt>
                <c:pt idx="52">
                  <c:v>26.402155863970673</c:v>
                </c:pt>
                <c:pt idx="53">
                  <c:v>26.399495061868514</c:v>
                </c:pt>
                <c:pt idx="54">
                  <c:v>26.396710617182816</c:v>
                </c:pt>
                <c:pt idx="55">
                  <c:v>26.393796869866932</c:v>
                </c:pt>
                <c:pt idx="56">
                  <c:v>26.390747908879334</c:v>
                </c:pt>
                <c:pt idx="57">
                  <c:v>26.387557561822454</c:v>
                </c:pt>
                <c:pt idx="58">
                  <c:v>26.384219384226633</c:v>
                </c:pt>
                <c:pt idx="59">
                  <c:v>26.380726648475235</c:v>
                </c:pt>
                <c:pt idx="60">
                  <c:v>26.377072332366911</c:v>
                </c:pt>
                <c:pt idx="61">
                  <c:v>26.37324910731083</c:v>
                </c:pt>
                <c:pt idx="62">
                  <c:v>26.369249326153763</c:v>
                </c:pt>
                <c:pt idx="63">
                  <c:v>26.365065010637529</c:v>
                </c:pt>
                <c:pt idx="64">
                  <c:v>26.36068783848636</c:v>
                </c:pt>
                <c:pt idx="65">
                  <c:v>26.356109130127358</c:v>
                </c:pt>
                <c:pt idx="66">
                  <c:v>26.351319835045544</c:v>
                </c:pt>
                <c:pt idx="67">
                  <c:v>26.346310517779592</c:v>
                </c:pt>
                <c:pt idx="68">
                  <c:v>26.341071343564806</c:v>
                </c:pt>
                <c:pt idx="69">
                  <c:v>26.335592063632408</c:v>
                </c:pt>
                <c:pt idx="70">
                  <c:v>26.329862000176789</c:v>
                </c:pt>
                <c:pt idx="71">
                  <c:v>26.323870031004411</c:v>
                </c:pt>
                <c:pt idx="72">
                  <c:v>26.317604573882022</c:v>
                </c:pt>
                <c:pt idx="73">
                  <c:v>26.311053570603487</c:v>
                </c:pt>
                <c:pt idx="74">
                  <c:v>26.304204470798723</c:v>
                </c:pt>
                <c:pt idx="75">
                  <c:v>26.29704421551277</c:v>
                </c:pt>
                <c:pt idx="76">
                  <c:v>26.289559220584465</c:v>
                </c:pt>
                <c:pt idx="77">
                  <c:v>26.281735359861607</c:v>
                </c:pt>
                <c:pt idx="78">
                  <c:v>26.273557948291529</c:v>
                </c:pt>
                <c:pt idx="79">
                  <c:v>26.265011724932243</c:v>
                </c:pt>
                <c:pt idx="80">
                  <c:v>26.256080835934164</c:v>
                </c:pt>
                <c:pt idx="81">
                  <c:v>26.246748817548099</c:v>
                </c:pt>
                <c:pt idx="82">
                  <c:v>26.23699857922135</c:v>
                </c:pt>
                <c:pt idx="83">
                  <c:v>26.226812386849105</c:v>
                </c:pt>
                <c:pt idx="84">
                  <c:v>26.216171846256572</c:v>
                </c:pt>
                <c:pt idx="85">
                  <c:v>26.205057886992492</c:v>
                </c:pt>
                <c:pt idx="86">
                  <c:v>26.193450746522643</c:v>
                </c:pt>
                <c:pt idx="87">
                  <c:v>26.181329954920397</c:v>
                </c:pt>
                <c:pt idx="88">
                  <c:v>26.16867432015728</c:v>
                </c:pt>
                <c:pt idx="89">
                  <c:v>26.155461914106432</c:v>
                </c:pt>
                <c:pt idx="90">
                  <c:v>26.141670059378225</c:v>
                </c:pt>
                <c:pt idx="91">
                  <c:v>26.12727531711792</c:v>
                </c:pt>
                <c:pt idx="92">
                  <c:v>26.112253475901138</c:v>
                </c:pt>
                <c:pt idx="93">
                  <c:v>26.096579541873727</c:v>
                </c:pt>
                <c:pt idx="94">
                  <c:v>26.080227730289408</c:v>
                </c:pt>
                <c:pt idx="95">
                  <c:v>26.063171458607293</c:v>
                </c:pt>
                <c:pt idx="96">
                  <c:v>26.045383341319646</c:v>
                </c:pt>
                <c:pt idx="97">
                  <c:v>26.02683518668773</c:v>
                </c:pt>
                <c:pt idx="98">
                  <c:v>26.00749799556985</c:v>
                </c:pt>
                <c:pt idx="99">
                  <c:v>25.987341962533751</c:v>
                </c:pt>
                <c:pt idx="100">
                  <c:v>25.966336479449247</c:v>
                </c:pt>
                <c:pt idx="101">
                  <c:v>25.944450141763092</c:v>
                </c:pt>
                <c:pt idx="102">
                  <c:v>25.921650757661027</c:v>
                </c:pt>
                <c:pt idx="103">
                  <c:v>25.897905360323566</c:v>
                </c:pt>
                <c:pt idx="104">
                  <c:v>25.873180223483487</c:v>
                </c:pt>
                <c:pt idx="105">
                  <c:v>25.847440880491391</c:v>
                </c:pt>
                <c:pt idx="106">
                  <c:v>25.820652147092709</c:v>
                </c:pt>
                <c:pt idx="107">
                  <c:v>25.792778148113406</c:v>
                </c:pt>
                <c:pt idx="108">
                  <c:v>25.763782348245385</c:v>
                </c:pt>
                <c:pt idx="109">
                  <c:v>25.733627587111126</c:v>
                </c:pt>
                <c:pt idx="110">
                  <c:v>25.702276118773678</c:v>
                </c:pt>
                <c:pt idx="111">
                  <c:v>25.669689655843623</c:v>
                </c:pt>
                <c:pt idx="112">
                  <c:v>25.635829418313211</c:v>
                </c:pt>
                <c:pt idx="113">
                  <c:v>25.600656187227379</c:v>
                </c:pt>
                <c:pt idx="114">
                  <c:v>25.564130363273652</c:v>
                </c:pt>
                <c:pt idx="115">
                  <c:v>25.526212030345473</c:v>
                </c:pt>
                <c:pt idx="116">
                  <c:v>25.486861024098534</c:v>
                </c:pt>
                <c:pt idx="117">
                  <c:v>25.446037005486531</c:v>
                </c:pt>
                <c:pt idx="118">
                  <c:v>25.403699539219708</c:v>
                </c:pt>
                <c:pt idx="119">
                  <c:v>25.35980817705093</c:v>
                </c:pt>
                <c:pt idx="120">
                  <c:v>25.314322545745224</c:v>
                </c:pt>
                <c:pt idx="121">
                  <c:v>25.2672024395441</c:v>
                </c:pt>
                <c:pt idx="122">
                  <c:v>25.21840791688318</c:v>
                </c:pt>
                <c:pt idx="123">
                  <c:v>25.167899401071825</c:v>
                </c:pt>
                <c:pt idx="124">
                  <c:v>25.115637784591076</c:v>
                </c:pt>
                <c:pt idx="125">
                  <c:v>25.061584536611559</c:v>
                </c:pt>
                <c:pt idx="126">
                  <c:v>25.0057018132824</c:v>
                </c:pt>
                <c:pt idx="127">
                  <c:v>24.947952570288656</c:v>
                </c:pt>
                <c:pt idx="128">
                  <c:v>24.888300677126889</c:v>
                </c:pt>
                <c:pt idx="129">
                  <c:v>24.826711032500185</c:v>
                </c:pt>
                <c:pt idx="130">
                  <c:v>24.763149680192022</c:v>
                </c:pt>
                <c:pt idx="131">
                  <c:v>24.697583924738712</c:v>
                </c:pt>
                <c:pt idx="132">
                  <c:v>24.629982446188357</c:v>
                </c:pt>
                <c:pt idx="133">
                  <c:v>24.560315413206077</c:v>
                </c:pt>
                <c:pt idx="134">
                  <c:v>24.488554593768121</c:v>
                </c:pt>
                <c:pt idx="135">
                  <c:v>24.414673462672688</c:v>
                </c:pt>
                <c:pt idx="136">
                  <c:v>24.338647305095918</c:v>
                </c:pt>
                <c:pt idx="137">
                  <c:v>24.260453315424165</c:v>
                </c:pt>
                <c:pt idx="138">
                  <c:v>24.180070690611611</c:v>
                </c:pt>
                <c:pt idx="139">
                  <c:v>24.09748071733511</c:v>
                </c:pt>
                <c:pt idx="140">
                  <c:v>24.012666852254888</c:v>
                </c:pt>
                <c:pt idx="141">
                  <c:v>23.925614794730965</c:v>
                </c:pt>
                <c:pt idx="142">
                  <c:v>23.836312551401416</c:v>
                </c:pt>
                <c:pt idx="143">
                  <c:v>23.744750492087</c:v>
                </c:pt>
                <c:pt idx="144">
                  <c:v>23.650921396558353</c:v>
                </c:pt>
                <c:pt idx="145">
                  <c:v>23.554820491777278</c:v>
                </c:pt>
                <c:pt idx="146">
                  <c:v>23.456445479305941</c:v>
                </c:pt>
                <c:pt idx="147">
                  <c:v>23.355796552665243</c:v>
                </c:pt>
                <c:pt idx="148">
                  <c:v>23.252876404512985</c:v>
                </c:pt>
                <c:pt idx="149">
                  <c:v>23.14769022360613</c:v>
                </c:pt>
                <c:pt idx="150">
                  <c:v>23.040245681602709</c:v>
                </c:pt>
                <c:pt idx="151">
                  <c:v>22.930552909854111</c:v>
                </c:pt>
                <c:pt idx="152">
                  <c:v>22.8186244664243</c:v>
                </c:pt>
                <c:pt idx="153">
                  <c:v>22.704475293663403</c:v>
                </c:pt>
                <c:pt idx="154">
                  <c:v>22.588122666741622</c:v>
                </c:pt>
                <c:pt idx="155">
                  <c:v>22.469586133626038</c:v>
                </c:pt>
                <c:pt idx="156">
                  <c:v>22.348887447051993</c:v>
                </c:pt>
                <c:pt idx="157">
                  <c:v>22.22605048910107</c:v>
                </c:pt>
                <c:pt idx="158">
                  <c:v>22.101101189048372</c:v>
                </c:pt>
                <c:pt idx="159">
                  <c:v>21.974067435188033</c:v>
                </c:pt>
                <c:pt idx="160">
                  <c:v>21.844978981375199</c:v>
                </c:pt>
                <c:pt idx="161">
                  <c:v>21.713867349050496</c:v>
                </c:pt>
                <c:pt idx="162">
                  <c:v>21.580765725524387</c:v>
                </c:pt>
                <c:pt idx="163">
                  <c:v>21.445708859305526</c:v>
                </c:pt>
                <c:pt idx="164">
                  <c:v>21.308732953252793</c:v>
                </c:pt>
                <c:pt idx="165">
                  <c:v>21.169875556317628</c:v>
                </c:pt>
                <c:pt idx="166">
                  <c:v>21.029175454624223</c:v>
                </c:pt>
                <c:pt idx="167">
                  <c:v>20.886672562606364</c:v>
                </c:pt>
                <c:pt idx="168">
                  <c:v>20.742407814887329</c:v>
                </c:pt>
                <c:pt idx="169">
                  <c:v>20.596423059549132</c:v>
                </c:pt>
                <c:pt idx="170">
                  <c:v>20.448760953394654</c:v>
                </c:pt>
                <c:pt idx="171">
                  <c:v>20.299464859758242</c:v>
                </c:pt>
                <c:pt idx="172">
                  <c:v>20.148578749371087</c:v>
                </c:pt>
                <c:pt idx="173">
                  <c:v>19.996147104735154</c:v>
                </c:pt>
                <c:pt idx="174">
                  <c:v>19.842214828407275</c:v>
                </c:pt>
                <c:pt idx="175">
                  <c:v>19.686827155541312</c:v>
                </c:pt>
                <c:pt idx="176">
                  <c:v>19.530029570984663</c:v>
                </c:pt>
                <c:pt idx="177">
                  <c:v>19.371867731171793</c:v>
                </c:pt>
                <c:pt idx="178">
                  <c:v>19.21238739101025</c:v>
                </c:pt>
                <c:pt idx="179">
                  <c:v>19.051634335904307</c:v>
                </c:pt>
                <c:pt idx="180">
                  <c:v>18.889654319017367</c:v>
                </c:pt>
                <c:pt idx="181">
                  <c:v>18.7264930038316</c:v>
                </c:pt>
                <c:pt idx="182">
                  <c:v>18.56219591202348</c:v>
                </c:pt>
                <c:pt idx="183">
                  <c:v>18.396808376637324</c:v>
                </c:pt>
                <c:pt idx="184">
                  <c:v>18.230375500506803</c:v>
                </c:pt>
                <c:pt idx="185">
                  <c:v>18.062942119844266</c:v>
                </c:pt>
                <c:pt idx="186">
                  <c:v>17.894552772890606</c:v>
                </c:pt>
                <c:pt idx="187">
                  <c:v>17.725251673497024</c:v>
                </c:pt>
                <c:pt idx="188">
                  <c:v>17.555082689488117</c:v>
                </c:pt>
                <c:pt idx="189">
                  <c:v>17.384089325640517</c:v>
                </c:pt>
                <c:pt idx="190">
                  <c:v>17.212314711095477</c:v>
                </c:pt>
                <c:pt idx="191">
                  <c:v>17.039801591013582</c:v>
                </c:pt>
                <c:pt idx="192">
                  <c:v>16.866592322269636</c:v>
                </c:pt>
                <c:pt idx="193">
                  <c:v>16.692728872979853</c:v>
                </c:pt>
                <c:pt idx="194">
                  <c:v>16.51825282564705</c:v>
                </c:pt>
                <c:pt idx="195">
                  <c:v>16.343205383707971</c:v>
                </c:pt>
                <c:pt idx="196">
                  <c:v>16.167627381263454</c:v>
                </c:pt>
                <c:pt idx="197">
                  <c:v>15.991559295773293</c:v>
                </c:pt>
                <c:pt idx="198">
                  <c:v>15.815041263496743</c:v>
                </c:pt>
                <c:pt idx="199">
                  <c:v>15.638113097462746</c:v>
                </c:pt>
                <c:pt idx="200">
                  <c:v>15.460814307754301</c:v>
                </c:pt>
                <c:pt idx="201">
                  <c:v>15.28318412389595</c:v>
                </c:pt>
                <c:pt idx="202">
                  <c:v>15.105261519135126</c:v>
                </c:pt>
                <c:pt idx="203">
                  <c:v>14.927085236411466</c:v>
                </c:pt>
                <c:pt idx="204">
                  <c:v>14.748693815812331</c:v>
                </c:pt>
                <c:pt idx="205">
                  <c:v>14.570125623314587</c:v>
                </c:pt>
                <c:pt idx="206">
                  <c:v>14.391418880617437</c:v>
                </c:pt>
                <c:pt idx="207">
                  <c:v>14.212611695871356</c:v>
                </c:pt>
                <c:pt idx="208">
                  <c:v>14.033742095113929</c:v>
                </c:pt>
                <c:pt idx="209">
                  <c:v>13.85484805422144</c:v>
                </c:pt>
                <c:pt idx="210">
                  <c:v>13.675967531190011</c:v>
                </c:pt>
                <c:pt idx="211">
                  <c:v>13.497138498558783</c:v>
                </c:pt>
                <c:pt idx="212">
                  <c:v>13.318398975788877</c:v>
                </c:pt>
                <c:pt idx="213">
                  <c:v>13.139787061411717</c:v>
                </c:pt>
                <c:pt idx="214">
                  <c:v>12.961340964759717</c:v>
                </c:pt>
                <c:pt idx="215">
                  <c:v>12.783099037090324</c:v>
                </c:pt>
                <c:pt idx="216">
                  <c:v>12.605099801914097</c:v>
                </c:pt>
                <c:pt idx="217">
                  <c:v>12.427381984334037</c:v>
                </c:pt>
                <c:pt idx="218">
                  <c:v>12.249984539201597</c:v>
                </c:pt>
                <c:pt idx="219">
                  <c:v>12.072946677891876</c:v>
                </c:pt>
                <c:pt idx="220">
                  <c:v>11.896307893496685</c:v>
                </c:pt>
                <c:pt idx="221">
                  <c:v>11.72010798423246</c:v>
                </c:pt>
                <c:pt idx="222">
                  <c:v>11.544387074855498</c:v>
                </c:pt>
                <c:pt idx="223">
                  <c:v>11.369185635873631</c:v>
                </c:pt>
                <c:pt idx="224">
                  <c:v>11.194544500343024</c:v>
                </c:pt>
                <c:pt idx="225">
                  <c:v>11.020504878032817</c:v>
                </c:pt>
                <c:pt idx="226">
                  <c:v>10.847108366741629</c:v>
                </c:pt>
                <c:pt idx="227">
                  <c:v>10.67439696054805</c:v>
                </c:pt>
                <c:pt idx="228">
                  <c:v>10.502413054776238</c:v>
                </c:pt>
                <c:pt idx="229">
                  <c:v>10.331199447459657</c:v>
                </c:pt>
                <c:pt idx="230">
                  <c:v>10.160799337090545</c:v>
                </c:pt>
                <c:pt idx="231">
                  <c:v>9.9912563164428132</c:v>
                </c:pt>
                <c:pt idx="232">
                  <c:v>9.8226143622668314</c:v>
                </c:pt>
                <c:pt idx="233">
                  <c:v>9.6549178206591488</c:v>
                </c:pt>
                <c:pt idx="234">
                  <c:v>9.4882113879233057</c:v>
                </c:pt>
                <c:pt idx="235">
                  <c:v>9.3225400867500454</c:v>
                </c:pt>
                <c:pt idx="236">
                  <c:v>9.1579492375600768</c:v>
                </c:pt>
                <c:pt idx="237">
                  <c:v>8.9944844248743845</c:v>
                </c:pt>
                <c:pt idx="238">
                  <c:v>8.8321914585947994</c:v>
                </c:pt>
                <c:pt idx="239">
                  <c:v>8.6711163301064893</c:v>
                </c:pt>
                <c:pt idx="240">
                  <c:v>8.5113051631401362</c:v>
                </c:pt>
                <c:pt idx="241">
                  <c:v>8.3528041593633944</c:v>
                </c:pt>
                <c:pt idx="242">
                  <c:v>8.1956595387074032</c:v>
                </c:pt>
                <c:pt idx="243">
                  <c:v>8.0399174744717818</c:v>
                </c:pt>
                <c:pt idx="244">
                  <c:v>7.8856240232921984</c:v>
                </c:pt>
                <c:pt idx="245">
                  <c:v>7.7328250500999252</c:v>
                </c:pt>
                <c:pt idx="246">
                  <c:v>7.5815661482498511</c:v>
                </c:pt>
                <c:pt idx="247">
                  <c:v>7.4318925550418022</c:v>
                </c:pt>
                <c:pt idx="248">
                  <c:v>7.2838490629109378</c:v>
                </c:pt>
                <c:pt idx="249">
                  <c:v>7.1374799266180409</c:v>
                </c:pt>
                <c:pt idx="250">
                  <c:v>6.9928287668181968</c:v>
                </c:pt>
                <c:pt idx="251">
                  <c:v>6.8499384704468138</c:v>
                </c:pt>
                <c:pt idx="252">
                  <c:v>6.7088510884063615</c:v>
                </c:pt>
                <c:pt idx="253">
                  <c:v>6.5696077310966947</c:v>
                </c:pt>
                <c:pt idx="254">
                  <c:v>6.4322484623707084</c:v>
                </c:pt>
                <c:pt idx="255">
                  <c:v>6.2968121925527507</c:v>
                </c:pt>
                <c:pt idx="256">
                  <c:v>6.1633365711899835</c:v>
                </c:pt>
                <c:pt idx="257">
                  <c:v>6.0318578802470491</c:v>
                </c:pt>
                <c:pt idx="258">
                  <c:v>5.902410928484743</c:v>
                </c:pt>
                <c:pt idx="259">
                  <c:v>5.7750289477850147</c:v>
                </c:pt>
                <c:pt idx="260">
                  <c:v>5.6497434922016723</c:v>
                </c:pt>
                <c:pt idx="261">
                  <c:v>5.5265843405242698</c:v>
                </c:pt>
                <c:pt idx="262">
                  <c:v>5.4055794031401323</c:v>
                </c:pt>
                <c:pt idx="263">
                  <c:v>5.2867546339704061</c:v>
                </c:pt>
                <c:pt idx="264">
                  <c:v>5.1701339482362174</c:v>
                </c:pt>
                <c:pt idx="265">
                  <c:v>5.0557391467806578</c:v>
                </c:pt>
                <c:pt idx="266">
                  <c:v>4.9435898476349029</c:v>
                </c:pt>
                <c:pt idx="267">
                  <c:v>4.8337034254667053</c:v>
                </c:pt>
                <c:pt idx="268">
                  <c:v>4.7260949594948842</c:v>
                </c:pt>
                <c:pt idx="269">
                  <c:v>4.6207771903854633</c:v>
                </c:pt>
                <c:pt idx="270">
                  <c:v>4.5177604865751384</c:v>
                </c:pt>
                <c:pt idx="271">
                  <c:v>4.4170528203861981</c:v>
                </c:pt>
                <c:pt idx="272">
                  <c:v>4.3186597542148437</c:v>
                </c:pt>
                <c:pt idx="273">
                  <c:v>4.2225844369842953</c:v>
                </c:pt>
                <c:pt idx="274">
                  <c:v>4.1288276109645077</c:v>
                </c:pt>
                <c:pt idx="275">
                  <c:v>4.037387628965881</c:v>
                </c:pt>
                <c:pt idx="276">
                  <c:v>3.9482604818236906</c:v>
                </c:pt>
                <c:pt idx="277">
                  <c:v>3.8614398359970252</c:v>
                </c:pt>
                <c:pt idx="278">
                  <c:v>3.7769170810184072</c:v>
                </c:pt>
                <c:pt idx="279">
                  <c:v>3.6946813864466019</c:v>
                </c:pt>
                <c:pt idx="280">
                  <c:v>3.614719767895461</c:v>
                </c:pt>
                <c:pt idx="281">
                  <c:v>3.537017161640267</c:v>
                </c:pt>
                <c:pt idx="282">
                  <c:v>3.4615565072377441</c:v>
                </c:pt>
                <c:pt idx="283">
                  <c:v>3.388318837539452</c:v>
                </c:pt>
                <c:pt idx="284">
                  <c:v>3.3172833754311033</c:v>
                </c:pt>
                <c:pt idx="285">
                  <c:v>3.2484276365919174</c:v>
                </c:pt>
                <c:pt idx="286">
                  <c:v>3.1817275375380465</c:v>
                </c:pt>
                <c:pt idx="287">
                  <c:v>3.1171575081973897</c:v>
                </c:pt>
                <c:pt idx="288">
                  <c:v>3.0546906082513283</c:v>
                </c:pt>
                <c:pt idx="289">
                  <c:v>2.9942986464782488</c:v>
                </c:pt>
                <c:pt idx="290">
                  <c:v>2.9359523023437735</c:v>
                </c:pt>
                <c:pt idx="291">
                  <c:v>2.8796212490967799</c:v>
                </c:pt>
                <c:pt idx="292">
                  <c:v>2.8252742776550281</c:v>
                </c:pt>
                <c:pt idx="293">
                  <c:v>2.7728794205946534</c:v>
                </c:pt>
                <c:pt idx="294">
                  <c:v>2.7224040755932406</c:v>
                </c:pt>
                <c:pt idx="295">
                  <c:v>2.6738151277180782</c:v>
                </c:pt>
                <c:pt idx="296">
                  <c:v>2.6270790699967383</c:v>
                </c:pt>
                <c:pt idx="297">
                  <c:v>2.5821621217534978</c:v>
                </c:pt>
                <c:pt idx="298">
                  <c:v>2.5390303442480455</c:v>
                </c:pt>
                <c:pt idx="299">
                  <c:v>2.4976497532028343</c:v>
                </c:pt>
                <c:pt idx="300">
                  <c:v>2.4579864278595598</c:v>
                </c:pt>
                <c:pt idx="301">
                  <c:v>2.4200066162555527</c:v>
                </c:pt>
                <c:pt idx="302">
                  <c:v>2.3836768364638723</c:v>
                </c:pt>
                <c:pt idx="303">
                  <c:v>2.3489639735894916</c:v>
                </c:pt>
                <c:pt idx="304">
                  <c:v>2.315835372363094</c:v>
                </c:pt>
                <c:pt idx="305">
                  <c:v>2.2842589252171894</c:v>
                </c:pt>
                <c:pt idx="306">
                  <c:v>2.2542031557743205</c:v>
                </c:pt>
                <c:pt idx="307">
                  <c:v>2.2256372977139947</c:v>
                </c:pt>
                <c:pt idx="308">
                  <c:v>2.1985313690227337</c:v>
                </c:pt>
                <c:pt idx="309">
                  <c:v>2.1728562416631156</c:v>
                </c:pt>
                <c:pt idx="310">
                  <c:v>2.148583706726201</c:v>
                </c:pt>
                <c:pt idx="311">
                  <c:v>2.125686535158593</c:v>
                </c:pt>
                <c:pt idx="312">
                  <c:v>2.1041385341745475</c:v>
                </c:pt>
                <c:pt idx="313">
                  <c:v>2.0839145994836681</c:v>
                </c:pt>
                <c:pt idx="314">
                  <c:v>2.0649907634785745</c:v>
                </c:pt>
                <c:pt idx="315">
                  <c:v>2.0473442395376278</c:v>
                </c:pt>
                <c:pt idx="316">
                  <c:v>2.0309534626070578</c:v>
                </c:pt>
                <c:pt idx="317">
                  <c:v>2.0157981262314131</c:v>
                </c:pt>
                <c:pt idx="318">
                  <c:v>2.0018592162038398</c:v>
                </c:pt>
                <c:pt idx="319">
                  <c:v>1.9891190410073769</c:v>
                </c:pt>
                <c:pt idx="320">
                  <c:v>1.9775612592162379</c:v>
                </c:pt>
                <c:pt idx="321">
                  <c:v>1.967170904021017</c:v>
                </c:pt>
                <c:pt idx="322">
                  <c:v>1.9579344050358161</c:v>
                </c:pt>
                <c:pt idx="323">
                  <c:v>1.9498396075351025</c:v>
                </c:pt>
                <c:pt idx="324">
                  <c:v>1.942875789260988</c:v>
                </c:pt>
                <c:pt idx="325">
                  <c:v>1.937033674927028</c:v>
                </c:pt>
                <c:pt idx="326">
                  <c:v>1.9323054485347011</c:v>
                </c:pt>
                <c:pt idx="327">
                  <c:v>1.9286847636028004</c:v>
                </c:pt>
                <c:pt idx="328">
                  <c:v>1.9261667513976151</c:v>
                </c:pt>
                <c:pt idx="329">
                  <c:v>1.9247480272349617</c:v>
                </c:pt>
                <c:pt idx="330">
                  <c:v>1.9244266949093669</c:v>
                </c:pt>
                <c:pt idx="331">
                  <c:v>1.9252023492903874</c:v>
                </c:pt>
                <c:pt idx="332">
                  <c:v>1.9270760771084277</c:v>
                </c:pt>
                <c:pt idx="333">
                  <c:v>1.9300504559364202</c:v>
                </c:pt>
                <c:pt idx="334">
                  <c:v>1.9341295513556114</c:v>
                </c:pt>
                <c:pt idx="335">
                  <c:v>1.939318912279155</c:v>
                </c:pt>
                <c:pt idx="336">
                  <c:v>1.9456255643884932</c:v>
                </c:pt>
                <c:pt idx="337">
                  <c:v>1.953058001622261</c:v>
                </c:pt>
                <c:pt idx="338">
                  <c:v>1.9616261756425724</c:v>
                </c:pt>
                <c:pt idx="339">
                  <c:v>1.9713414831863039</c:v>
                </c:pt>
                <c:pt idx="340">
                  <c:v>1.9822167511980262</c:v>
                </c:pt>
                <c:pt idx="341">
                  <c:v>1.9942662196237473</c:v>
                </c:pt>
                <c:pt idx="342">
                  <c:v>2.0075055217374156</c:v>
                </c:pt>
                <c:pt idx="343">
                  <c:v>2.0219516618554607</c:v>
                </c:pt>
                <c:pt idx="344">
                  <c:v>2.0376229902909513</c:v>
                </c:pt>
                <c:pt idx="345">
                  <c:v>2.0545391753868039</c:v>
                </c:pt>
                <c:pt idx="346">
                  <c:v>2.0727211724628556</c:v>
                </c:pt>
                <c:pt idx="347">
                  <c:v>2.0921911895092511</c:v>
                </c:pt>
                <c:pt idx="348">
                  <c:v>2.112972649454028</c:v>
                </c:pt>
                <c:pt idx="349">
                  <c:v>2.1350901488357228</c:v>
                </c:pt>
                <c:pt idx="350">
                  <c:v>2.1585694127137374</c:v>
                </c:pt>
                <c:pt idx="351">
                  <c:v>2.1834372456575148</c:v>
                </c:pt>
                <c:pt idx="352">
                  <c:v>2.2097214786610282</c:v>
                </c:pt>
                <c:pt idx="353">
                  <c:v>2.2374509118466226</c:v>
                </c:pt>
                <c:pt idx="354">
                  <c:v>2.2666552528329653</c:v>
                </c:pt>
                <c:pt idx="355">
                  <c:v>2.2973650506653511</c:v>
                </c:pt>
                <c:pt idx="356">
                  <c:v>2.329611625226204</c:v>
                </c:pt>
                <c:pt idx="357">
                  <c:v>2.36342699207191</c:v>
                </c:pt>
                <c:pt idx="358">
                  <c:v>2.3988437826726612</c:v>
                </c:pt>
                <c:pt idx="359">
                  <c:v>2.4358951600631036</c:v>
                </c:pt>
                <c:pt idx="360">
                  <c:v>2.4746147299518566</c:v>
                </c:pt>
                <c:pt idx="361">
                  <c:v>2.515036447376044</c:v>
                </c:pt>
                <c:pt idx="362">
                  <c:v>2.5571945190317962</c:v>
                </c:pt>
                <c:pt idx="363">
                  <c:v>2.6011233014574846</c:v>
                </c:pt>
                <c:pt idx="364">
                  <c:v>2.6468571952946665</c:v>
                </c:pt>
                <c:pt idx="365">
                  <c:v>2.6944305359032175</c:v>
                </c:pt>
                <c:pt idx="366">
                  <c:v>2.7438774806573685</c:v>
                </c:pt>
                <c:pt idx="367">
                  <c:v>2.7952318933035429</c:v>
                </c:pt>
                <c:pt idx="368">
                  <c:v>2.8485272258118939</c:v>
                </c:pt>
                <c:pt idx="369">
                  <c:v>2.9037963982047059</c:v>
                </c:pt>
                <c:pt idx="370">
                  <c:v>2.9610716768977441</c:v>
                </c:pt>
                <c:pt idx="371">
                  <c:v>3.0203845521328763</c:v>
                </c:pt>
                <c:pt idx="372">
                  <c:v>3.0817656151300121</c:v>
                </c:pt>
                <c:pt idx="373">
                  <c:v>3.1452444356214255</c:v>
                </c:pt>
                <c:pt idx="374">
                  <c:v>3.2108494404688255</c:v>
                </c:pt>
                <c:pt idx="375">
                  <c:v>3.2786077940904756</c:v>
                </c:pt>
                <c:pt idx="376">
                  <c:v>3.3485452814475023</c:v>
                </c:pt>
                <c:pt idx="377">
                  <c:v>3.4206861943521396</c:v>
                </c:pt>
                <c:pt idx="378">
                  <c:v>3.4950532218664971</c:v>
                </c:pt>
                <c:pt idx="379">
                  <c:v>3.5716673455555332</c:v>
                </c:pt>
                <c:pt idx="380">
                  <c:v>3.6505477403465965</c:v>
                </c:pt>
                <c:pt idx="381">
                  <c:v>3.7317116817250691</c:v>
                </c:pt>
                <c:pt idx="382">
                  <c:v>3.8151744599634965</c:v>
                </c:pt>
                <c:pt idx="383">
                  <c:v>3.9009493020399382</c:v>
                </c:pt>
                <c:pt idx="384">
                  <c:v>3.9890473018522119</c:v>
                </c:pt>
                <c:pt idx="385">
                  <c:v>4.079477359273775</c:v>
                </c:pt>
                <c:pt idx="386">
                  <c:v>4.1722461285297623</c:v>
                </c:pt>
                <c:pt idx="387">
                  <c:v>4.2673579762999472</c:v>
                </c:pt>
                <c:pt idx="388">
                  <c:v>4.3648149498709836</c:v>
                </c:pt>
                <c:pt idx="389">
                  <c:v>4.4646167555778957</c:v>
                </c:pt>
                <c:pt idx="390">
                  <c:v>4.5667607476833396</c:v>
                </c:pt>
                <c:pt idx="391">
                  <c:v>4.6712419277538082</c:v>
                </c:pt>
                <c:pt idx="392">
                  <c:v>4.7780529544965731</c:v>
                </c:pt>
                <c:pt idx="393">
                  <c:v>4.8871841639311144</c:v>
                </c:pt>
                <c:pt idx="394">
                  <c:v>4.9986235996775239</c:v>
                </c:pt>
                <c:pt idx="395">
                  <c:v>5.1123570530570266</c:v>
                </c:pt>
                <c:pt idx="396">
                  <c:v>5.2283681126182362</c:v>
                </c:pt>
                <c:pt idx="397">
                  <c:v>5.3466382226242697</c:v>
                </c:pt>
                <c:pt idx="398">
                  <c:v>5.4671467499674344</c:v>
                </c:pt>
                <c:pt idx="399">
                  <c:v>5.589871058914671</c:v>
                </c:pt>
                <c:pt idx="400">
                  <c:v>5.7147865930335984</c:v>
                </c:pt>
                <c:pt idx="401">
                  <c:v>5.8418669636040201</c:v>
                </c:pt>
                <c:pt idx="402">
                  <c:v>5.9710840437840034</c:v>
                </c:pt>
                <c:pt idx="403">
                  <c:v>6.1024080677736583</c:v>
                </c:pt>
                <c:pt idx="404">
                  <c:v>6.2358077342042719</c:v>
                </c:pt>
                <c:pt idx="405">
                  <c:v>6.3712503129719922</c:v>
                </c:pt>
                <c:pt idx="406">
                  <c:v>6.5087017547388424</c:v>
                </c:pt>
                <c:pt idx="407">
                  <c:v>6.6481268023328415</c:v>
                </c:pt>
                <c:pt idx="408">
                  <c:v>6.7894891033002827</c:v>
                </c:pt>
                <c:pt idx="409">
                  <c:v>6.932751322885764</c:v>
                </c:pt>
                <c:pt idx="410">
                  <c:v>7.0778752567519021</c:v>
                </c:pt>
                <c:pt idx="411">
                  <c:v>7.2248219427839242</c:v>
                </c:pt>
                <c:pt idx="412">
                  <c:v>7.3735517713730614</c:v>
                </c:pt>
                <c:pt idx="413">
                  <c:v>7.5240245936129524</c:v>
                </c:pt>
                <c:pt idx="414">
                  <c:v>7.6761998268979905</c:v>
                </c:pt>
                <c:pt idx="415">
                  <c:v>7.8300365574613116</c:v>
                </c:pt>
                <c:pt idx="416">
                  <c:v>7.9854936394427085</c:v>
                </c:pt>
                <c:pt idx="417">
                  <c:v>8.1425297901327642</c:v>
                </c:pt>
                <c:pt idx="418">
                  <c:v>8.3011036810879517</c:v>
                </c:pt>
                <c:pt idx="419">
                  <c:v>8.4611740248678977</c:v>
                </c:pt>
                <c:pt idx="420">
                  <c:v>8.6226996571928041</c:v>
                </c:pt>
                <c:pt idx="421">
                  <c:v>8.7856396143693711</c:v>
                </c:pt>
                <c:pt idx="422">
                  <c:v>8.949953205878149</c:v>
                </c:pt>
                <c:pt idx="423">
                  <c:v>9.1156000820599541</c:v>
                </c:pt>
                <c:pt idx="424">
                  <c:v>9.2825402968760731</c:v>
                </c:pt>
                <c:pt idx="425">
                  <c:v>9.4507343657570271</c:v>
                </c:pt>
                <c:pt idx="426">
                  <c:v>9.6201433185856349</c:v>
                </c:pt>
                <c:pt idx="427">
                  <c:v>9.7907287478905953</c:v>
                </c:pt>
                <c:pt idx="428">
                  <c:v>9.9624528523532128</c:v>
                </c:pt>
                <c:pt idx="429">
                  <c:v>10.135278475755145</c:v>
                </c:pt>
                <c:pt idx="430">
                  <c:v>10.30916914150918</c:v>
                </c:pt>
                <c:pt idx="431">
                  <c:v>10.484089082939501</c:v>
                </c:pt>
                <c:pt idx="432">
                  <c:v>10.660003269484237</c:v>
                </c:pt>
                <c:pt idx="433">
                  <c:v>10.836877429009151</c:v>
                </c:pt>
                <c:pt idx="434">
                  <c:v>11.014678066426388</c:v>
                </c:pt>
                <c:pt idx="435">
                  <c:v>11.193372478819068</c:v>
                </c:pt>
                <c:pt idx="436">
                  <c:v>11.372928767276818</c:v>
                </c:pt>
                <c:pt idx="437">
                  <c:v>11.553315845646761</c:v>
                </c:pt>
                <c:pt idx="438">
                  <c:v>11.734503446406494</c:v>
                </c:pt>
                <c:pt idx="439">
                  <c:v>11.916462123862209</c:v>
                </c:pt>
                <c:pt idx="440">
                  <c:v>12.099163254872261</c:v>
                </c:pt>
                <c:pt idx="441">
                  <c:v>12.282579037293091</c:v>
                </c:pt>
                <c:pt idx="442">
                  <c:v>12.466682486336719</c:v>
                </c:pt>
                <c:pt idx="443">
                  <c:v>12.6514474290252</c:v>
                </c:pt>
                <c:pt idx="444">
                  <c:v>12.836848496919144</c:v>
                </c:pt>
                <c:pt idx="445">
                  <c:v>13.022861117290089</c:v>
                </c:pt>
                <c:pt idx="446">
                  <c:v>13.209461502899044</c:v>
                </c:pt>
                <c:pt idx="447">
                  <c:v>13.396626640534858</c:v>
                </c:pt>
                <c:pt idx="448">
                  <c:v>13.584334278457973</c:v>
                </c:pt>
                <c:pt idx="449">
                  <c:v>13.772562912887622</c:v>
                </c:pt>
                <c:pt idx="450">
                  <c:v>13.961291773659317</c:v>
                </c:pt>
                <c:pt idx="451">
                  <c:v>14.150500809175629</c:v>
                </c:pt>
                <c:pt idx="452">
                  <c:v>14.340170670759644</c:v>
                </c:pt>
                <c:pt idx="453">
                  <c:v>14.530282696518535</c:v>
                </c:pt>
                <c:pt idx="454">
                  <c:v>14.720818894809915</c:v>
                </c:pt>
                <c:pt idx="455">
                  <c:v>14.911761927403916</c:v>
                </c:pt>
                <c:pt idx="456">
                  <c:v>15.10309509241833</c:v>
                </c:pt>
                <c:pt idx="457">
                  <c:v>15.294802307105673</c:v>
                </c:pt>
                <c:pt idx="458">
                  <c:v>15.486868090556809</c:v>
                </c:pt>
                <c:pt idx="459">
                  <c:v>15.679277546385155</c:v>
                </c:pt>
                <c:pt idx="460">
                  <c:v>15.87201634544606</c:v>
                </c:pt>
                <c:pt idx="461">
                  <c:v>16.065070708641947</c:v>
                </c:pt>
                <c:pt idx="462">
                  <c:v>16.258427389858568</c:v>
                </c:pt>
                <c:pt idx="463">
                  <c:v>16.45207365907147</c:v>
                </c:pt>
                <c:pt idx="464">
                  <c:v>16.645997285659192</c:v>
                </c:pt>
                <c:pt idx="465">
                  <c:v>16.840186521953143</c:v>
                </c:pt>
                <c:pt idx="466">
                  <c:v>17.034630087052179</c:v>
                </c:pt>
                <c:pt idx="467">
                  <c:v>17.229317150924949</c:v>
                </c:pt>
                <c:pt idx="468">
                  <c:v>17.424237318820417</c:v>
                </c:pt>
                <c:pt idx="469">
                  <c:v>17.619380616002449</c:v>
                </c:pt>
                <c:pt idx="470">
                  <c:v>17.8147374728239</c:v>
                </c:pt>
                <c:pt idx="471">
                  <c:v>18.010298710151204</c:v>
                </c:pt>
                <c:pt idx="472">
                  <c:v>18.20605552514721</c:v>
                </c:pt>
                <c:pt idx="473">
                  <c:v>18.401999477421715</c:v>
                </c:pt>
                <c:pt idx="474">
                  <c:v>18.598122475551556</c:v>
                </c:pt>
                <c:pt idx="475">
                  <c:v>18.794416763976308</c:v>
                </c:pt>
                <c:pt idx="476">
                  <c:v>18.990874910268957</c:v>
                </c:pt>
                <c:pt idx="477">
                  <c:v>19.187489792782426</c:v>
                </c:pt>
                <c:pt idx="478">
                  <c:v>19.384254588671272</c:v>
                </c:pt>
                <c:pt idx="479">
                  <c:v>19.581162762285182</c:v>
                </c:pt>
                <c:pt idx="480">
                  <c:v>19.778208053931774</c:v>
                </c:pt>
                <c:pt idx="481">
                  <c:v>19.975384469004155</c:v>
                </c:pt>
                <c:pt idx="482">
                  <c:v>20.172686267468386</c:v>
                </c:pt>
                <c:pt idx="483">
                  <c:v>20.370107953705308</c:v>
                </c:pt>
                <c:pt idx="484">
                  <c:v>20.567644266699631</c:v>
                </c:pt>
                <c:pt idx="485">
                  <c:v>20.765290170571546</c:v>
                </c:pt>
                <c:pt idx="486">
                  <c:v>20.96304084544137</c:v>
                </c:pt>
                <c:pt idx="487">
                  <c:v>21.160891678621763</c:v>
                </c:pt>
                <c:pt idx="488">
                  <c:v>21.358838256128561</c:v>
                </c:pt>
                <c:pt idx="489">
                  <c:v>21.556876354502915</c:v>
                </c:pt>
                <c:pt idx="490">
                  <c:v>21.75500193293626</c:v>
                </c:pt>
                <c:pt idx="491">
                  <c:v>21.953211125690405</c:v>
                </c:pt>
                <c:pt idx="492">
                  <c:v>22.151500234803979</c:v>
                </c:pt>
                <c:pt idx="493">
                  <c:v>22.349865723077254</c:v>
                </c:pt>
                <c:pt idx="494">
                  <c:v>22.548304207326531</c:v>
                </c:pt>
                <c:pt idx="495">
                  <c:v>22.746812451900361</c:v>
                </c:pt>
                <c:pt idx="496">
                  <c:v>22.945387362449754</c:v>
                </c:pt>
                <c:pt idx="497">
                  <c:v>23.144025979942604</c:v>
                </c:pt>
                <c:pt idx="498">
                  <c:v>23.342725474915916</c:v>
                </c:pt>
                <c:pt idx="499">
                  <c:v>23.541483141957251</c:v>
                </c:pt>
                <c:pt idx="500">
                  <c:v>23.740296394407444</c:v>
                </c:pt>
                <c:pt idx="501">
                  <c:v>23.939162759277153</c:v>
                </c:pt>
                <c:pt idx="502">
                  <c:v>24.138079872369886</c:v>
                </c:pt>
                <c:pt idx="503">
                  <c:v>24.337045473603464</c:v>
                </c:pt>
                <c:pt idx="504">
                  <c:v>24.536057402523429</c:v>
                </c:pt>
                <c:pt idx="505">
                  <c:v>24.735113594001412</c:v>
                </c:pt>
                <c:pt idx="506">
                  <c:v>24.934212074110658</c:v>
                </c:pt>
                <c:pt idx="507">
                  <c:v>25.133350956173611</c:v>
                </c:pt>
                <c:pt idx="508">
                  <c:v>25.332528436973494</c:v>
                </c:pt>
                <c:pt idx="509">
                  <c:v>25.531742793125037</c:v>
                </c:pt>
                <c:pt idx="510">
                  <c:v>25.730992377596813</c:v>
                </c:pt>
                <c:pt idx="511">
                  <c:v>25.93027561638046</c:v>
                </c:pt>
                <c:pt idx="512">
                  <c:v>26.129591005300835</c:v>
                </c:pt>
                <c:pt idx="513">
                  <c:v>26.328937106960865</c:v>
                </c:pt>
                <c:pt idx="514">
                  <c:v>26.528312547816753</c:v>
                </c:pt>
                <c:pt idx="515">
                  <c:v>26.727716015377098</c:v>
                </c:pt>
                <c:pt idx="516">
                  <c:v>26.927146255522349</c:v>
                </c:pt>
                <c:pt idx="517">
                  <c:v>27.126602069939281</c:v>
                </c:pt>
                <c:pt idx="518">
                  <c:v>27.326082313664138</c:v>
                </c:pt>
                <c:pt idx="519">
                  <c:v>27.525585892733595</c:v>
                </c:pt>
                <c:pt idx="520">
                  <c:v>27.725111761935004</c:v>
                </c:pt>
                <c:pt idx="521">
                  <c:v>27.924658922655503</c:v>
                </c:pt>
                <c:pt idx="522">
                  <c:v>28.124226420822932</c:v>
                </c:pt>
                <c:pt idx="523">
                  <c:v>28.323813344936461</c:v>
                </c:pt>
                <c:pt idx="524">
                  <c:v>28.523418824183455</c:v>
                </c:pt>
                <c:pt idx="525">
                  <c:v>28.723042026637341</c:v>
                </c:pt>
                <c:pt idx="526">
                  <c:v>28.922682157534105</c:v>
                </c:pt>
                <c:pt idx="527">
                  <c:v>29.1223384576246</c:v>
                </c:pt>
                <c:pt idx="528">
                  <c:v>29.322010201598225</c:v>
                </c:pt>
                <c:pt idx="529">
                  <c:v>29.521696696576328</c:v>
                </c:pt>
                <c:pt idx="530">
                  <c:v>29.721397280670686</c:v>
                </c:pt>
                <c:pt idx="531">
                  <c:v>29.921111321605935</c:v>
                </c:pt>
                <c:pt idx="532">
                  <c:v>30.120838215402333</c:v>
                </c:pt>
                <c:pt idx="533">
                  <c:v>30.320577385116284</c:v>
                </c:pt>
                <c:pt idx="534">
                  <c:v>30.520328279636647</c:v>
                </c:pt>
                <c:pt idx="535">
                  <c:v>30.720090372533711</c:v>
                </c:pt>
                <c:pt idx="536">
                  <c:v>30.919863160958986</c:v>
                </c:pt>
                <c:pt idx="537">
                  <c:v>31.119646164594108</c:v>
                </c:pt>
                <c:pt idx="538">
                  <c:v>31.319438924645326</c:v>
                </c:pt>
                <c:pt idx="539">
                  <c:v>31.519241002883241</c:v>
                </c:pt>
                <c:pt idx="540">
                  <c:v>31.719051980724409</c:v>
                </c:pt>
                <c:pt idx="541">
                  <c:v>31.918871458354197</c:v>
                </c:pt>
              </c:numCache>
            </c:numRef>
          </c:yVal>
          <c:smooth val="1"/>
          <c:extLst>
            <c:ext xmlns:c16="http://schemas.microsoft.com/office/drawing/2014/chart" uri="{C3380CC4-5D6E-409C-BE32-E72D297353CC}">
              <c16:uniqueId val="{00000000-9071-434A-B397-2C3D7F38C963}"/>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tx>
            <c:v>Phase (Deg)</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Control_Loop_Tables!$AQ$19:$AQ$560</c:f>
              <c:numCache>
                <c:formatCode>General</c:formatCode>
                <c:ptCount val="542"/>
                <c:pt idx="0">
                  <c:v>-1.8854869626211885</c:v>
                </c:pt>
                <c:pt idx="1">
                  <c:v>-1.9293671110979007</c:v>
                </c:pt>
                <c:pt idx="2">
                  <c:v>-1.9742666100034578</c:v>
                </c:pt>
                <c:pt idx="3">
                  <c:v>-2.0202090067653287</c:v>
                </c:pt>
                <c:pt idx="4">
                  <c:v>-2.0672183833048479</c:v>
                </c:pt>
                <c:pt idx="5">
                  <c:v>-2.115319367491447</c:v>
                </c:pt>
                <c:pt idx="6">
                  <c:v>-2.164537144792964</c:v>
                </c:pt>
                <c:pt idx="7">
                  <c:v>-2.2148974701218584</c:v>
                </c:pt>
                <c:pt idx="8">
                  <c:v>-2.2664266798764801</c:v>
                </c:pt>
                <c:pt idx="9">
                  <c:v>-2.3191517041761767</c:v>
                </c:pt>
                <c:pt idx="10">
                  <c:v>-2.3731000792888373</c:v>
                </c:pt>
                <c:pt idx="11">
                  <c:v>-2.4282999602487148</c:v>
                </c:pt>
                <c:pt idx="12">
                  <c:v>-2.4847801336620243</c:v>
                </c:pt>
                <c:pt idx="13">
                  <c:v>-2.5425700306972954</c:v>
                </c:pt>
                <c:pt idx="14">
                  <c:v>-2.6016997402569024</c:v>
                </c:pt>
                <c:pt idx="15">
                  <c:v>-2.6622000223251918</c:v>
                </c:pt>
                <c:pt idx="16">
                  <c:v>-2.724102321488699</c:v>
                </c:pt>
                <c:pt idx="17">
                  <c:v>-2.7874387806223564</c:v>
                </c:pt>
                <c:pt idx="18">
                  <c:v>-2.8522422547353243</c:v>
                </c:pt>
                <c:pt idx="19">
                  <c:v>-2.9185463249692445</c:v>
                </c:pt>
                <c:pt idx="20">
                  <c:v>-2.9863853127403095</c:v>
                </c:pt>
                <c:pt idx="21">
                  <c:v>-3.0557942940162728</c:v>
                </c:pt>
                <c:pt idx="22">
                  <c:v>-3.1268091137173188</c:v>
                </c:pt>
                <c:pt idx="23">
                  <c:v>-3.1994664002304338</c:v>
                </c:pt>
                <c:pt idx="24">
                  <c:v>-3.2738035800231624</c:v>
                </c:pt>
                <c:pt idx="25">
                  <c:v>-3.3498588923438137</c:v>
                </c:pt>
                <c:pt idx="26">
                  <c:v>-3.4276714039917411</c:v>
                </c:pt>
                <c:pt idx="27">
                  <c:v>-3.50728102414128</c:v>
                </c:pt>
                <c:pt idx="28">
                  <c:v>-3.5887285192001479</c:v>
                </c:pt>
                <c:pt idx="29">
                  <c:v>-3.6720555276820224</c:v>
                </c:pt>
                <c:pt idx="30">
                  <c:v>-3.7573045750711138</c:v>
                </c:pt>
                <c:pt idx="31">
                  <c:v>-3.8445190886541094</c:v>
                </c:pt>
                <c:pt idx="32">
                  <c:v>-3.9337434122928032</c:v>
                </c:pt>
                <c:pt idx="33">
                  <c:v>-4.0250228211093884</c:v>
                </c:pt>
                <c:pt idx="34">
                  <c:v>-4.1184035360518383</c:v>
                </c:pt>
                <c:pt idx="35">
                  <c:v>-4.2139327383066227</c:v>
                </c:pt>
                <c:pt idx="36">
                  <c:v>-4.311658583521532</c:v>
                </c:pt>
                <c:pt idx="37">
                  <c:v>-4.4116302157985929</c:v>
                </c:pt>
                <c:pt idx="38">
                  <c:v>-4.5138977814151655</c:v>
                </c:pt>
                <c:pt idx="39">
                  <c:v>-4.6185124422257591</c:v>
                </c:pt>
                <c:pt idx="40">
                  <c:v>-4.7255263886955374</c:v>
                </c:pt>
                <c:pt idx="41">
                  <c:v>-4.8349928525118626</c:v>
                </c:pt>
                <c:pt idx="42">
                  <c:v>-4.9469661187156833</c:v>
                </c:pt>
                <c:pt idx="43">
                  <c:v>-5.0615015372911225</c:v>
                </c:pt>
                <c:pt idx="44">
                  <c:v>-5.1786555341467038</c:v>
                </c:pt>
                <c:pt idx="45">
                  <c:v>-5.2984856214167095</c:v>
                </c:pt>
                <c:pt idx="46">
                  <c:v>-5.4210504070064083</c:v>
                </c:pt>
                <c:pt idx="47">
                  <c:v>-5.5464096032991881</c:v>
                </c:pt>
                <c:pt idx="48">
                  <c:v>-5.6746240349380468</c:v>
                </c:pt>
                <c:pt idx="49">
                  <c:v>-5.8057556455879578</c:v>
                </c:pt>
                <c:pt idx="50">
                  <c:v>-5.9398675035798423</c:v>
                </c:pt>
                <c:pt idx="51">
                  <c:v>-6.0770238063282713</c:v>
                </c:pt>
                <c:pt idx="52">
                  <c:v>-6.2172898834115653</c:v>
                </c:pt>
                <c:pt idx="53">
                  <c:v>-6.3607321981913545</c:v>
                </c:pt>
                <c:pt idx="54">
                  <c:v>-6.5074183478451504</c:v>
                </c:pt>
                <c:pt idx="55">
                  <c:v>-6.6574170616742077</c:v>
                </c:pt>
                <c:pt idx="56">
                  <c:v>-6.8107981975426517</c:v>
                </c:pt>
                <c:pt idx="57">
                  <c:v>-6.9676327362938517</c:v>
                </c:pt>
                <c:pt idx="58">
                  <c:v>-7.1279927739822062</c:v>
                </c:pt>
                <c:pt idx="59">
                  <c:v>-7.291951511747663</c:v>
                </c:pt>
                <c:pt idx="60">
                  <c:v>-7.4595832431517266</c:v>
                </c:pt>
                <c:pt idx="61">
                  <c:v>-7.6309633387832063</c:v>
                </c:pt>
                <c:pt idx="62">
                  <c:v>-7.8061682279308506</c:v>
                </c:pt>
                <c:pt idx="63">
                  <c:v>-7.9852753771113845</c:v>
                </c:pt>
                <c:pt idx="64">
                  <c:v>-8.168363265227816</c:v>
                </c:pt>
                <c:pt idx="65">
                  <c:v>-8.35551135512409</c:v>
                </c:pt>
                <c:pt idx="66">
                  <c:v>-8.5468000612893587</c:v>
                </c:pt>
                <c:pt idx="67">
                  <c:v>-8.7423107134547902</c:v>
                </c:pt>
                <c:pt idx="68">
                  <c:v>-8.9421255158130251</c:v>
                </c:pt>
                <c:pt idx="69">
                  <c:v>-9.1463275015801742</c:v>
                </c:pt>
                <c:pt idx="70">
                  <c:v>-9.3550004826082809</c:v>
                </c:pt>
                <c:pt idx="71">
                  <c:v>-9.5682289937442064</c:v>
                </c:pt>
                <c:pt idx="72">
                  <c:v>-9.7860982316209757</c:v>
                </c:pt>
                <c:pt idx="73">
                  <c:v>-10.008693987556629</c:v>
                </c:pt>
                <c:pt idx="74">
                  <c:v>-10.236102574224677</c:v>
                </c:pt>
                <c:pt idx="75">
                  <c:v>-10.468410745752218</c:v>
                </c:pt>
                <c:pt idx="76">
                  <c:v>-10.705705610891876</c:v>
                </c:pt>
                <c:pt idx="77">
                  <c:v>-10.948074538906516</c:v>
                </c:pt>
                <c:pt idx="78">
                  <c:v>-11.195605057799527</c:v>
                </c:pt>
                <c:pt idx="79">
                  <c:v>-11.448384744517938</c:v>
                </c:pt>
                <c:pt idx="80">
                  <c:v>-11.706501106752645</c:v>
                </c:pt>
                <c:pt idx="81">
                  <c:v>-11.970041455957812</c:v>
                </c:pt>
                <c:pt idx="82">
                  <c:v>-12.239092771213683</c:v>
                </c:pt>
                <c:pt idx="83">
                  <c:v>-12.513741553558503</c:v>
                </c:pt>
                <c:pt idx="84">
                  <c:v>-12.794073670423247</c:v>
                </c:pt>
                <c:pt idx="85">
                  <c:v>-13.080174189809394</c:v>
                </c:pt>
                <c:pt idx="86">
                  <c:v>-13.372127203866665</c:v>
                </c:pt>
                <c:pt idx="87">
                  <c:v>-13.670015641540173</c:v>
                </c:pt>
                <c:pt idx="88">
                  <c:v>-13.973921069980401</c:v>
                </c:pt>
                <c:pt idx="89">
                  <c:v>-14.283923484433725</c:v>
                </c:pt>
                <c:pt idx="90">
                  <c:v>-14.600101086363793</c:v>
                </c:pt>
                <c:pt idx="91">
                  <c:v>-14.922530049587817</c:v>
                </c:pt>
                <c:pt idx="92">
                  <c:v>-15.251284274257452</c:v>
                </c:pt>
                <c:pt idx="93">
                  <c:v>-15.586435128560966</c:v>
                </c:pt>
                <c:pt idx="94">
                  <c:v>-15.928051178080892</c:v>
                </c:pt>
                <c:pt idx="95">
                  <c:v>-16.276197902802782</c:v>
                </c:pt>
                <c:pt idx="96">
                  <c:v>-16.630937401843873</c:v>
                </c:pt>
                <c:pt idx="97">
                  <c:v>-16.992328086046175</c:v>
                </c:pt>
                <c:pt idx="98">
                  <c:v>-17.360424358670585</c:v>
                </c:pt>
                <c:pt idx="99">
                  <c:v>-17.735276284518143</c:v>
                </c:pt>
                <c:pt idx="100">
                  <c:v>-18.11692924791398</c:v>
                </c:pt>
                <c:pt idx="101">
                  <c:v>-18.505423600099466</c:v>
                </c:pt>
                <c:pt idx="102">
                  <c:v>-18.900794296700695</c:v>
                </c:pt>
                <c:pt idx="103">
                  <c:v>-19.303070526069646</c:v>
                </c:pt>
                <c:pt idx="104">
                  <c:v>-19.71227532943562</c:v>
                </c:pt>
                <c:pt idx="105">
                  <c:v>-20.128425213944404</c:v>
                </c:pt>
                <c:pt idx="106">
                  <c:v>-20.551529759819864</c:v>
                </c:pt>
                <c:pt idx="107">
                  <c:v>-20.981591223037945</c:v>
                </c:pt>
                <c:pt idx="108">
                  <c:v>-21.418604135064282</c:v>
                </c:pt>
                <c:pt idx="109">
                  <c:v>-21.862554901376814</c:v>
                </c:pt>
                <c:pt idx="110">
                  <c:v>-22.313421400658697</c:v>
                </c:pt>
                <c:pt idx="111">
                  <c:v>-22.77117258671624</c:v>
                </c:pt>
                <c:pt idx="112">
                  <c:v>-23.235768095343555</c:v>
                </c:pt>
                <c:pt idx="113">
                  <c:v>-23.707157858514421</c:v>
                </c:pt>
                <c:pt idx="114">
                  <c:v>-24.185281728440181</c:v>
                </c:pt>
                <c:pt idx="115">
                  <c:v>-24.670069114172765</c:v>
                </c:pt>
                <c:pt idx="116">
                  <c:v>-25.161438633569713</c:v>
                </c:pt>
                <c:pt idx="117">
                  <c:v>-25.659297783548976</c:v>
                </c:pt>
                <c:pt idx="118">
                  <c:v>-26.163542631664111</c:v>
                </c:pt>
                <c:pt idx="119">
                  <c:v>-26.67405753210236</c:v>
                </c:pt>
                <c:pt idx="120">
                  <c:v>-27.190714869258443</c:v>
                </c:pt>
                <c:pt idx="121">
                  <c:v>-27.713374832060076</c:v>
                </c:pt>
                <c:pt idx="122">
                  <c:v>-28.241885222204655</c:v>
                </c:pt>
                <c:pt idx="123">
                  <c:v>-28.776081299428999</c:v>
                </c:pt>
                <c:pt idx="124">
                  <c:v>-29.315785666839353</c:v>
                </c:pt>
                <c:pt idx="125">
                  <c:v>-29.860808199214176</c:v>
                </c:pt>
                <c:pt idx="126">
                  <c:v>-30.410946017023459</c:v>
                </c:pt>
                <c:pt idx="127">
                  <c:v>-30.965983508698237</c:v>
                </c:pt>
                <c:pt idx="128">
                  <c:v>-31.525692403434594</c:v>
                </c:pt>
                <c:pt idx="129">
                  <c:v>-32.089831896524196</c:v>
                </c:pt>
                <c:pt idx="130">
                  <c:v>-32.658148828858224</c:v>
                </c:pt>
                <c:pt idx="131">
                  <c:v>-33.230377921884532</c:v>
                </c:pt>
                <c:pt idx="132">
                  <c:v>-33.806242068874333</c:v>
                </c:pt>
                <c:pt idx="133">
                  <c:v>-34.3854526829139</c:v>
                </c:pt>
                <c:pt idx="134">
                  <c:v>-34.967710101549457</c:v>
                </c:pt>
                <c:pt idx="135">
                  <c:v>-35.552704047522127</c:v>
                </c:pt>
                <c:pt idx="136">
                  <c:v>-36.140114144501588</c:v>
                </c:pt>
                <c:pt idx="137">
                  <c:v>-36.729610486203065</c:v>
                </c:pt>
                <c:pt idx="138">
                  <c:v>-37.320854256733611</c:v>
                </c:pt>
                <c:pt idx="139">
                  <c:v>-37.913498399494458</c:v>
                </c:pt>
                <c:pt idx="140">
                  <c:v>-38.507188331437256</c:v>
                </c:pt>
                <c:pt idx="141">
                  <c:v>-39.101562698995089</c:v>
                </c:pt>
                <c:pt idx="142">
                  <c:v>-39.696254171532104</c:v>
                </c:pt>
                <c:pt idx="143">
                  <c:v>-40.290890267738938</c:v>
                </c:pt>
                <c:pt idx="144">
                  <c:v>-40.885094210017876</c:v>
                </c:pt>
                <c:pt idx="145">
                  <c:v>-41.478485801577655</c:v>
                </c:pt>
                <c:pt idx="146">
                  <c:v>-42.070682320685641</c:v>
                </c:pt>
                <c:pt idx="147">
                  <c:v>-42.661299426325435</c:v>
                </c:pt>
                <c:pt idx="148">
                  <c:v>-43.249952069370131</c:v>
                </c:pt>
                <c:pt idx="149">
                  <c:v>-43.836255403309714</c:v>
                </c:pt>
                <c:pt idx="150">
                  <c:v>-44.419825688590954</c:v>
                </c:pt>
                <c:pt idx="151">
                  <c:v>-45.000281184682649</c:v>
                </c:pt>
                <c:pt idx="152">
                  <c:v>-45.577243024151883</c:v>
                </c:pt>
                <c:pt idx="153">
                  <c:v>-46.150336063227527</c:v>
                </c:pt>
                <c:pt idx="154">
                  <c:v>-46.719189703623542</c:v>
                </c:pt>
                <c:pt idx="155">
                  <c:v>-47.283438680718575</c:v>
                </c:pt>
                <c:pt idx="156">
                  <c:v>-47.842723813581912</c:v>
                </c:pt>
                <c:pt idx="157">
                  <c:v>-48.396692712766054</c:v>
                </c:pt>
                <c:pt idx="158">
                  <c:v>-48.945000442257438</c:v>
                </c:pt>
                <c:pt idx="159">
                  <c:v>-49.487310132475599</c:v>
                </c:pt>
                <c:pt idx="160">
                  <c:v>-50.023293541731832</c:v>
                </c:pt>
                <c:pt idx="161">
                  <c:v>-50.552631564088401</c:v>
                </c:pt>
                <c:pt idx="162">
                  <c:v>-51.075014682098647</c:v>
                </c:pt>
                <c:pt idx="163">
                  <c:v>-51.590143363442067</c:v>
                </c:pt>
                <c:pt idx="164">
                  <c:v>-52.097728400983179</c:v>
                </c:pt>
                <c:pt idx="165">
                  <c:v>-52.597491196296076</c:v>
                </c:pt>
                <c:pt idx="166">
                  <c:v>-53.089163987166692</c:v>
                </c:pt>
                <c:pt idx="167">
                  <c:v>-53.572490020039119</c:v>
                </c:pt>
                <c:pt idx="168">
                  <c:v>-54.047223668786856</c:v>
                </c:pt>
                <c:pt idx="169">
                  <c:v>-54.513130501564582</c:v>
                </c:pt>
                <c:pt idx="170">
                  <c:v>-54.969987297836639</c:v>
                </c:pt>
                <c:pt idx="171">
                  <c:v>-55.417582017972009</c:v>
                </c:pt>
                <c:pt idx="172">
                  <c:v>-55.855713728046233</c:v>
                </c:pt>
                <c:pt idx="173">
                  <c:v>-56.284192482702686</c:v>
                </c:pt>
                <c:pt idx="174">
                  <c:v>-56.702839169089174</c:v>
                </c:pt>
                <c:pt idx="175">
                  <c:v>-57.111485315014114</c:v>
                </c:pt>
                <c:pt idx="176">
                  <c:v>-57.509972864549724</c:v>
                </c:pt>
                <c:pt idx="177">
                  <c:v>-57.898153924359718</c:v>
                </c:pt>
                <c:pt idx="178">
                  <c:v>-58.275890484045341</c:v>
                </c:pt>
                <c:pt idx="179">
                  <c:v>-58.643054113784501</c:v>
                </c:pt>
                <c:pt idx="180">
                  <c:v>-58.99952564249427</c:v>
                </c:pt>
                <c:pt idx="181">
                  <c:v>-59.345194819678547</c:v>
                </c:pt>
                <c:pt idx="182">
                  <c:v>-59.679959964030381</c:v>
                </c:pt>
                <c:pt idx="183">
                  <c:v>-60.003727601747883</c:v>
                </c:pt>
                <c:pt idx="184">
                  <c:v>-60.316412097400978</c:v>
                </c:pt>
                <c:pt idx="185">
                  <c:v>-60.61793528004543</c:v>
                </c:pt>
                <c:pt idx="186">
                  <c:v>-60.908226067139125</c:v>
                </c:pt>
                <c:pt idx="187">
                  <c:v>-61.187220088660695</c:v>
                </c:pt>
                <c:pt idx="188">
                  <c:v>-61.454859313676465</c:v>
                </c:pt>
                <c:pt idx="189">
                  <c:v>-61.711091681444458</c:v>
                </c:pt>
                <c:pt idx="190">
                  <c:v>-61.955870738986341</c:v>
                </c:pt>
                <c:pt idx="191">
                  <c:v>-62.189155286904864</c:v>
                </c:pt>
                <c:pt idx="192">
                  <c:v>-62.41090903507407</c:v>
                </c:pt>
                <c:pt idx="193">
                  <c:v>-62.621100269680589</c:v>
                </c:pt>
                <c:pt idx="194">
                  <c:v>-62.819701532960586</c:v>
                </c:pt>
                <c:pt idx="195">
                  <c:v>-63.006689316837083</c:v>
                </c:pt>
                <c:pt idx="196">
                  <c:v>-63.182043771541871</c:v>
                </c:pt>
                <c:pt idx="197">
                  <c:v>-63.345748430187243</c:v>
                </c:pt>
                <c:pt idx="198">
                  <c:v>-63.497789950141865</c:v>
                </c:pt>
                <c:pt idx="199">
                  <c:v>-63.638157871966165</c:v>
                </c:pt>
                <c:pt idx="200">
                  <c:v>-63.766844396566221</c:v>
                </c:pt>
                <c:pt idx="201">
                  <c:v>-63.88384418114159</c:v>
                </c:pt>
                <c:pt idx="202">
                  <c:v>-63.989154154425528</c:v>
                </c:pt>
                <c:pt idx="203">
                  <c:v>-64.082773351641848</c:v>
                </c:pt>
                <c:pt idx="204">
                  <c:v>-64.164702769540355</c:v>
                </c:pt>
                <c:pt idx="205">
                  <c:v>-64.234945241815993</c:v>
                </c:pt>
                <c:pt idx="206">
                  <c:v>-64.293505335162607</c:v>
                </c:pt>
                <c:pt idx="207">
                  <c:v>-64.340389266161878</c:v>
                </c:pt>
                <c:pt idx="208">
                  <c:v>-64.375604839171615</c:v>
                </c:pt>
                <c:pt idx="209">
                  <c:v>-64.399161405327291</c:v>
                </c:pt>
                <c:pt idx="210">
                  <c:v>-64.411069842741711</c:v>
                </c:pt>
                <c:pt idx="211">
                  <c:v>-64.411342557945687</c:v>
                </c:pt>
                <c:pt idx="212">
                  <c:v>-64.399993508579826</c:v>
                </c:pt>
                <c:pt idx="213">
                  <c:v>-64.377038247312768</c:v>
                </c:pt>
                <c:pt idx="214">
                  <c:v>-64.342493986924836</c:v>
                </c:pt>
                <c:pt idx="215">
                  <c:v>-64.296379686458948</c:v>
                </c:pt>
                <c:pt idx="216">
                  <c:v>-64.238716158300576</c:v>
                </c:pt>
                <c:pt idx="217">
                  <c:v>-64.169526196010409</c:v>
                </c:pt>
                <c:pt idx="218">
                  <c:v>-64.088834722679394</c:v>
                </c:pt>
                <c:pt idx="219">
                  <c:v>-63.996668959534375</c:v>
                </c:pt>
                <c:pt idx="220">
                  <c:v>-63.893058614458404</c:v>
                </c:pt>
                <c:pt idx="221">
                  <c:v>-63.778036090034973</c:v>
                </c:pt>
                <c:pt idx="222">
                  <c:v>-63.651636710652127</c:v>
                </c:pt>
                <c:pt idx="223">
                  <c:v>-63.513898968129496</c:v>
                </c:pt>
                <c:pt idx="224">
                  <c:v>-63.364864785252308</c:v>
                </c:pt>
                <c:pt idx="225">
                  <c:v>-63.204579796497278</c:v>
                </c:pt>
                <c:pt idx="226">
                  <c:v>-63.033093645146636</c:v>
                </c:pt>
                <c:pt idx="227">
                  <c:v>-62.850460295877468</c:v>
                </c:pt>
                <c:pt idx="228">
                  <c:v>-62.656738361792392</c:v>
                </c:pt>
                <c:pt idx="229">
                  <c:v>-62.451991444746916</c:v>
                </c:pt>
                <c:pt idx="230">
                  <c:v>-62.236288487689706</c:v>
                </c:pt>
                <c:pt idx="231">
                  <c:v>-62.009704137598526</c:v>
                </c:pt>
                <c:pt idx="232">
                  <c:v>-61.772319117451225</c:v>
                </c:pt>
                <c:pt idx="233">
                  <c:v>-61.524220605521812</c:v>
                </c:pt>
                <c:pt idx="234">
                  <c:v>-61.265502620137042</c:v>
                </c:pt>
                <c:pt idx="235">
                  <c:v>-60.996266407876753</c:v>
                </c:pt>
                <c:pt idx="236">
                  <c:v>-60.716620833037481</c:v>
                </c:pt>
                <c:pt idx="237">
                  <c:v>-60.426682766032158</c:v>
                </c:pt>
                <c:pt idx="238">
                  <c:v>-60.126577468230394</c:v>
                </c:pt>
                <c:pt idx="239">
                  <c:v>-59.816438970611607</c:v>
                </c:pt>
                <c:pt idx="240">
                  <c:v>-59.496410443449022</c:v>
                </c:pt>
                <c:pt idx="241">
                  <c:v>-59.166644554120595</c:v>
                </c:pt>
                <c:pt idx="242">
                  <c:v>-58.827303810021149</c:v>
                </c:pt>
                <c:pt idx="243">
                  <c:v>-58.478560883456424</c:v>
                </c:pt>
                <c:pt idx="244">
                  <c:v>-58.120598915315071</c:v>
                </c:pt>
                <c:pt idx="245">
                  <c:v>-57.753611794259385</c:v>
                </c:pt>
                <c:pt idx="246">
                  <c:v>-57.377804408151256</c:v>
                </c:pt>
                <c:pt idx="247">
                  <c:v>-56.993392864425672</c:v>
                </c:pt>
                <c:pt idx="248">
                  <c:v>-56.600604676160302</c:v>
                </c:pt>
                <c:pt idx="249">
                  <c:v>-56.199678910658818</c:v>
                </c:pt>
                <c:pt idx="250">
                  <c:v>-55.790866297479376</c:v>
                </c:pt>
                <c:pt idx="251">
                  <c:v>-55.374429292976373</c:v>
                </c:pt>
                <c:pt idx="252">
                  <c:v>-54.950642098630908</c:v>
                </c:pt>
                <c:pt idx="253">
                  <c:v>-54.519790630664893</c:v>
                </c:pt>
                <c:pt idx="254">
                  <c:v>-54.082172438718722</c:v>
                </c:pt>
                <c:pt idx="255">
                  <c:v>-53.638096571688827</c:v>
                </c:pt>
                <c:pt idx="256">
                  <c:v>-53.187883389184073</c:v>
                </c:pt>
                <c:pt idx="257">
                  <c:v>-52.731864317455916</c:v>
                </c:pt>
                <c:pt idx="258">
                  <c:v>-52.270381549094317</c:v>
                </c:pt>
                <c:pt idx="259">
                  <c:v>-51.803787686251113</c:v>
                </c:pt>
                <c:pt idx="260">
                  <c:v>-51.332445327636812</c:v>
                </c:pt>
                <c:pt idx="261">
                  <c:v>-50.856726600060192</c:v>
                </c:pt>
                <c:pt idx="262">
                  <c:v>-50.377012635806828</c:v>
                </c:pt>
                <c:pt idx="263">
                  <c:v>-49.89369299767332</c:v>
                </c:pt>
                <c:pt idx="264">
                  <c:v>-49.40716505403536</c:v>
                </c:pt>
                <c:pt idx="265">
                  <c:v>-48.917833306825258</c:v>
                </c:pt>
                <c:pt idx="266">
                  <c:v>-48.426108675818661</c:v>
                </c:pt>
                <c:pt idx="267">
                  <c:v>-47.932407743105799</c:v>
                </c:pt>
                <c:pt idx="268">
                  <c:v>-47.437151962074381</c:v>
                </c:pt>
                <c:pt idx="269">
                  <c:v>-46.940766835630349</c:v>
                </c:pt>
                <c:pt idx="270">
                  <c:v>-46.443681068744951</c:v>
                </c:pt>
                <c:pt idx="271">
                  <c:v>-45.946325700716564</c:v>
                </c:pt>
                <c:pt idx="272">
                  <c:v>-45.449133222769753</c:v>
                </c:pt>
                <c:pt idx="273">
                  <c:v>-44.95253668679689</c:v>
                </c:pt>
                <c:pt idx="274">
                  <c:v>-44.456968811139681</c:v>
                </c:pt>
                <c:pt idx="275">
                  <c:v>-43.962861089351094</c:v>
                </c:pt>
                <c:pt idx="276">
                  <c:v>-43.47064290783424</c:v>
                </c:pt>
                <c:pt idx="277">
                  <c:v>-42.980740678143114</c:v>
                </c:pt>
                <c:pt idx="278">
                  <c:v>-42.493576989555294</c:v>
                </c:pt>
                <c:pt idx="279">
                  <c:v>-42.009569787274309</c:v>
                </c:pt>
                <c:pt idx="280">
                  <c:v>-41.529131581325409</c:v>
                </c:pt>
                <c:pt idx="281">
                  <c:v>-41.052668690829428</c:v>
                </c:pt>
                <c:pt idx="282">
                  <c:v>-40.580580527943219</c:v>
                </c:pt>
                <c:pt idx="283">
                  <c:v>-40.113258925299661</c:v>
                </c:pt>
                <c:pt idx="284">
                  <c:v>-39.651087510287617</c:v>
                </c:pt>
                <c:pt idx="285">
                  <c:v>-39.194441129008375</c:v>
                </c:pt>
                <c:pt idx="286">
                  <c:v>-38.743685322217438</c:v>
                </c:pt>
                <c:pt idx="287">
                  <c:v>-38.299175855013871</c:v>
                </c:pt>
                <c:pt idx="288">
                  <c:v>-37.861258301514731</c:v>
                </c:pt>
                <c:pt idx="289">
                  <c:v>-37.430267685216606</c:v>
                </c:pt>
                <c:pt idx="290">
                  <c:v>-37.006528175224574</c:v>
                </c:pt>
                <c:pt idx="291">
                  <c:v>-36.590352838048886</c:v>
                </c:pt>
                <c:pt idx="292">
                  <c:v>-36.182043444186583</c:v>
                </c:pt>
                <c:pt idx="293">
                  <c:v>-35.781890328282159</c:v>
                </c:pt>
                <c:pt idx="294">
                  <c:v>-35.390172301250928</c:v>
                </c:pt>
                <c:pt idx="295">
                  <c:v>-35.007156612399221</c:v>
                </c:pt>
                <c:pt idx="296">
                  <c:v>-34.633098959240698</c:v>
                </c:pt>
                <c:pt idx="297">
                  <c:v>-34.268243542446186</c:v>
                </c:pt>
                <c:pt idx="298">
                  <c:v>-33.912823163119384</c:v>
                </c:pt>
                <c:pt idx="299">
                  <c:v>-33.56705935940446</c:v>
                </c:pt>
                <c:pt idx="300">
                  <c:v>-33.231162579277367</c:v>
                </c:pt>
                <c:pt idx="301">
                  <c:v>-32.90533238626977</c:v>
                </c:pt>
                <c:pt idx="302">
                  <c:v>-32.589757694797036</c:v>
                </c:pt>
                <c:pt idx="303">
                  <c:v>-32.28461703173204</c:v>
                </c:pt>
                <c:pt idx="304">
                  <c:v>-31.990078820856091</c:v>
                </c:pt>
                <c:pt idx="305">
                  <c:v>-31.706301686858097</c:v>
                </c:pt>
                <c:pt idx="306">
                  <c:v>-31.433434775594328</c:v>
                </c:pt>
                <c:pt idx="307">
                  <c:v>-31.171618087409993</c:v>
                </c:pt>
                <c:pt idx="308">
                  <c:v>-30.920982820412046</c:v>
                </c:pt>
                <c:pt idx="309">
                  <c:v>-30.681651720706096</c:v>
                </c:pt>
                <c:pt idx="310">
                  <c:v>-30.45373943673421</c:v>
                </c:pt>
                <c:pt idx="311">
                  <c:v>-30.237352874988719</c:v>
                </c:pt>
                <c:pt idx="312">
                  <c:v>-30.032591554529045</c:v>
                </c:pt>
                <c:pt idx="313">
                  <c:v>-29.839547957879329</c:v>
                </c:pt>
                <c:pt idx="314">
                  <c:v>-29.658307876037092</c:v>
                </c:pt>
                <c:pt idx="315">
                  <c:v>-29.488950745490627</c:v>
                </c:pt>
                <c:pt idx="316">
                  <c:v>-29.331549975286496</c:v>
                </c:pt>
                <c:pt idx="317">
                  <c:v>-29.186173262355819</c:v>
                </c:pt>
                <c:pt idx="318">
                  <c:v>-29.052882893447354</c:v>
                </c:pt>
                <c:pt idx="319">
                  <c:v>-28.931736032173792</c:v>
                </c:pt>
                <c:pt idx="320">
                  <c:v>-28.822784989807406</c:v>
                </c:pt>
                <c:pt idx="321">
                  <c:v>-28.726077478606747</c:v>
                </c:pt>
                <c:pt idx="322">
                  <c:v>-28.641656846578027</c:v>
                </c:pt>
                <c:pt idx="323">
                  <c:v>-28.569562292702866</c:v>
                </c:pt>
                <c:pt idx="324">
                  <c:v>-28.509829061776713</c:v>
                </c:pt>
                <c:pt idx="325">
                  <c:v>-28.462488618115639</c:v>
                </c:pt>
                <c:pt idx="326">
                  <c:v>-28.427568797491581</c:v>
                </c:pt>
                <c:pt idx="327">
                  <c:v>-28.405093936758782</c:v>
                </c:pt>
                <c:pt idx="328">
                  <c:v>-28.395084980720807</c:v>
                </c:pt>
                <c:pt idx="329">
                  <c:v>-28.397559565886965</c:v>
                </c:pt>
                <c:pt idx="330">
                  <c:v>-28.412532080846482</c:v>
                </c:pt>
                <c:pt idx="331">
                  <c:v>-28.440013703074435</c:v>
                </c:pt>
                <c:pt idx="332">
                  <c:v>-28.480012412066156</c:v>
                </c:pt>
                <c:pt idx="333">
                  <c:v>-28.53253297877292</c:v>
                </c:pt>
                <c:pt idx="334">
                  <c:v>-28.597576931400646</c:v>
                </c:pt>
                <c:pt idx="335">
                  <c:v>-28.675142497701458</c:v>
                </c:pt>
                <c:pt idx="336">
                  <c:v>-28.765224523981697</c:v>
                </c:pt>
                <c:pt idx="337">
                  <c:v>-28.867814371127995</c:v>
                </c:pt>
                <c:pt idx="338">
                  <c:v>-28.982899788040775</c:v>
                </c:pt>
                <c:pt idx="339">
                  <c:v>-29.110464762960483</c:v>
                </c:pt>
                <c:pt idx="340">
                  <c:v>-29.250489353258082</c:v>
                </c:pt>
                <c:pt idx="341">
                  <c:v>-29.402949494376688</c:v>
                </c:pt>
                <c:pt idx="342">
                  <c:v>-29.567816788698902</c:v>
                </c:pt>
                <c:pt idx="343">
                  <c:v>-29.745058275248198</c:v>
                </c:pt>
                <c:pt idx="344">
                  <c:v>-29.934636181230289</c:v>
                </c:pt>
                <c:pt idx="345">
                  <c:v>-30.136507656562138</c:v>
                </c:pt>
                <c:pt idx="346">
                  <c:v>-30.350624492660344</c:v>
                </c:pt>
                <c:pt idx="347">
                  <c:v>-30.576932826894538</c:v>
                </c:pt>
                <c:pt idx="348">
                  <c:v>-30.815372834263588</c:v>
                </c:pt>
                <c:pt idx="349">
                  <c:v>-31.065878407995971</c:v>
                </c:pt>
                <c:pt idx="350">
                  <c:v>-31.328376830923911</c:v>
                </c:pt>
                <c:pt idx="351">
                  <c:v>-31.602788439644797</c:v>
                </c:pt>
                <c:pt idx="352">
                  <c:v>-31.889026283634866</c:v>
                </c:pt>
                <c:pt idx="353">
                  <c:v>-32.186995781636909</c:v>
                </c:pt>
                <c:pt idx="354">
                  <c:v>-32.49659437780516</c:v>
                </c:pt>
                <c:pt idx="355">
                  <c:v>-32.817711200230143</c:v>
                </c:pt>
                <c:pt idx="356">
                  <c:v>-33.150226724628929</c:v>
                </c:pt>
                <c:pt idx="357">
                  <c:v>-33.494012446104406</c:v>
                </c:pt>
                <c:pt idx="358">
                  <c:v>-33.848930562009308</c:v>
                </c:pt>
                <c:pt idx="359">
                  <c:v>-34.214833669066472</c:v>
                </c:pt>
                <c:pt idx="360">
                  <c:v>-34.591564477975005</c:v>
                </c:pt>
                <c:pt idx="361">
                  <c:v>-34.978955548809573</c:v>
                </c:pt>
                <c:pt idx="362">
                  <c:v>-35.376829050574301</c:v>
                </c:pt>
                <c:pt idx="363">
                  <c:v>-35.784996548261908</c:v>
                </c:pt>
                <c:pt idx="364">
                  <c:v>-36.20325882079878</c:v>
                </c:pt>
                <c:pt idx="365">
                  <c:v>-36.631405713162941</c:v>
                </c:pt>
                <c:pt idx="366">
                  <c:v>-37.069216025917221</c:v>
                </c:pt>
                <c:pt idx="367">
                  <c:v>-37.516457445248918</c:v>
                </c:pt>
                <c:pt idx="368">
                  <c:v>-37.972886516461266</c:v>
                </c:pt>
                <c:pt idx="369">
                  <c:v>-38.438248663647251</c:v>
                </c:pt>
                <c:pt idx="370">
                  <c:v>-38.912278258026738</c:v>
                </c:pt>
                <c:pt idx="371">
                  <c:v>-39.394698737142413</c:v>
                </c:pt>
                <c:pt idx="372">
                  <c:v>-39.885222776768046</c:v>
                </c:pt>
                <c:pt idx="373">
                  <c:v>-40.38355251701374</c:v>
                </c:pt>
                <c:pt idx="374">
                  <c:v>-40.889379843695544</c:v>
                </c:pt>
                <c:pt idx="375">
                  <c:v>-41.402386725593253</c:v>
                </c:pt>
                <c:pt idx="376">
                  <c:v>-41.922245607738432</c:v>
                </c:pt>
                <c:pt idx="377">
                  <c:v>-42.448619860379182</c:v>
                </c:pt>
                <c:pt idx="378">
                  <c:v>-42.981164282734461</c:v>
                </c:pt>
                <c:pt idx="379">
                  <c:v>-43.519525660132118</c:v>
                </c:pt>
                <c:pt idx="380">
                  <c:v>-44.063343372574977</c:v>
                </c:pt>
                <c:pt idx="381">
                  <c:v>-44.612250052246296</c:v>
                </c:pt>
                <c:pt idx="382">
                  <c:v>-45.16587228694614</c:v>
                </c:pt>
                <c:pt idx="383">
                  <c:v>-45.723831365942424</c:v>
                </c:pt>
                <c:pt idx="384">
                  <c:v>-46.285744064241939</c:v>
                </c:pt>
                <c:pt idx="385">
                  <c:v>-46.851223460854754</c:v>
                </c:pt>
                <c:pt idx="386">
                  <c:v>-47.419879786219923</c:v>
                </c:pt>
                <c:pt idx="387">
                  <c:v>-47.991321293623095</c:v>
                </c:pt>
                <c:pt idx="388">
                  <c:v>-48.565155149146221</c:v>
                </c:pt>
                <c:pt idx="389">
                  <c:v>-49.140988334468069</c:v>
                </c:pt>
                <c:pt idx="390">
                  <c:v>-49.718428556667206</c:v>
                </c:pt>
                <c:pt idx="391">
                  <c:v>-50.297085159107318</c:v>
                </c:pt>
                <c:pt idx="392">
                  <c:v>-50.876570027456275</c:v>
                </c:pt>
                <c:pt idx="393">
                  <c:v>-51.456498484944426</c:v>
                </c:pt>
                <c:pt idx="394">
                  <c:v>-52.036490171109577</c:v>
                </c:pt>
                <c:pt idx="395">
                  <c:v>-52.616169898448497</c:v>
                </c:pt>
                <c:pt idx="396">
                  <c:v>-53.195168481674756</c:v>
                </c:pt>
                <c:pt idx="397">
                  <c:v>-53.773123534580073</c:v>
                </c:pt>
                <c:pt idx="398">
                  <c:v>-54.349680229893607</c:v>
                </c:pt>
                <c:pt idx="399">
                  <c:v>-54.924492017922631</c:v>
                </c:pt>
                <c:pt idx="400">
                  <c:v>-55.497221300245009</c:v>
                </c:pt>
                <c:pt idx="401">
                  <c:v>-56.067540055187514</c:v>
                </c:pt>
                <c:pt idx="402">
                  <c:v>-56.635130412357853</c:v>
                </c:pt>
                <c:pt idx="403">
                  <c:v>-57.199685174006866</c:v>
                </c:pt>
                <c:pt idx="404">
                  <c:v>-57.760908281540573</c:v>
                </c:pt>
                <c:pt idx="405">
                  <c:v>-58.31851522602971</c:v>
                </c:pt>
                <c:pt idx="406">
                  <c:v>-58.872233402082465</c:v>
                </c:pt>
                <c:pt idx="407">
                  <c:v>-59.421802404952757</c:v>
                </c:pt>
                <c:pt idx="408">
                  <c:v>-59.966974271237845</c:v>
                </c:pt>
                <c:pt idx="409">
                  <c:v>-60.507513663970499</c:v>
                </c:pt>
                <c:pt idx="410">
                  <c:v>-61.043198003329628</c:v>
                </c:pt>
                <c:pt idx="411">
                  <c:v>-61.573817544576826</c:v>
                </c:pt>
                <c:pt idx="412">
                  <c:v>-62.099175405168623</c:v>
                </c:pt>
                <c:pt idx="413">
                  <c:v>-62.619087543294377</c:v>
                </c:pt>
                <c:pt idx="414">
                  <c:v>-63.133382690342494</c:v>
                </c:pt>
                <c:pt idx="415">
                  <c:v>-63.641902240023548</c:v>
                </c:pt>
                <c:pt idx="416">
                  <c:v>-64.144500097032065</c:v>
                </c:pt>
                <c:pt idx="417">
                  <c:v>-64.641042488276639</c:v>
                </c:pt>
                <c:pt idx="418">
                  <c:v>-65.131407739780329</c:v>
                </c:pt>
                <c:pt idx="419">
                  <c:v>-65.615486022416533</c:v>
                </c:pt>
                <c:pt idx="420">
                  <c:v>-66.093179069655193</c:v>
                </c:pt>
                <c:pt idx="421">
                  <c:v>-66.564399870478255</c:v>
                </c:pt>
                <c:pt idx="422">
                  <c:v>-67.02907234057632</c:v>
                </c:pt>
                <c:pt idx="423">
                  <c:v>-67.487130974870354</c:v>
                </c:pt>
                <c:pt idx="424">
                  <c:v>-67.938520484302217</c:v>
                </c:pt>
                <c:pt idx="425">
                  <c:v>-68.383195419725254</c:v>
                </c:pt>
                <c:pt idx="426">
                  <c:v>-68.821119785598341</c:v>
                </c:pt>
                <c:pt idx="427">
                  <c:v>-69.252266646039914</c:v>
                </c:pt>
                <c:pt idx="428">
                  <c:v>-69.676617725643013</c:v>
                </c:pt>
                <c:pt idx="429">
                  <c:v>-70.094163007301972</c:v>
                </c:pt>
                <c:pt idx="430">
                  <c:v>-70.504900329119266</c:v>
                </c:pt>
                <c:pt idx="431">
                  <c:v>-70.908834982310566</c:v>
                </c:pt>
                <c:pt idx="432">
                  <c:v>-71.305979311843913</c:v>
                </c:pt>
                <c:pt idx="433">
                  <c:v>-71.696352321392496</c:v>
                </c:pt>
                <c:pt idx="434">
                  <c:v>-72.079979284011216</c:v>
                </c:pt>
                <c:pt idx="435">
                  <c:v>-72.456891359789708</c:v>
                </c:pt>
                <c:pt idx="436">
                  <c:v>-72.827125221585945</c:v>
                </c:pt>
                <c:pt idx="437">
                  <c:v>-73.190722689791016</c:v>
                </c:pt>
                <c:pt idx="438">
                  <c:v>-73.54773037694315</c:v>
                </c:pt>
                <c:pt idx="439">
                  <c:v>-73.898199342875003</c:v>
                </c:pt>
                <c:pt idx="440">
                  <c:v>-74.242184760955354</c:v>
                </c:pt>
                <c:pt idx="441">
                  <c:v>-74.579745595876233</c:v>
                </c:pt>
                <c:pt idx="442">
                  <c:v>-74.910944293324803</c:v>
                </c:pt>
                <c:pt idx="443">
                  <c:v>-75.235846481787021</c:v>
                </c:pt>
                <c:pt idx="444">
                  <c:v>-75.554520686642519</c:v>
                </c:pt>
                <c:pt idx="445">
                  <c:v>-75.867038056625191</c:v>
                </c:pt>
                <c:pt idx="446">
                  <c:v>-76.173472102657811</c:v>
                </c:pt>
                <c:pt idx="447">
                  <c:v>-76.473898448999179</c:v>
                </c:pt>
                <c:pt idx="448">
                  <c:v>-76.768394596591619</c:v>
                </c:pt>
                <c:pt idx="449">
                  <c:v>-77.057039698439397</c:v>
                </c:pt>
                <c:pt idx="450">
                  <c:v>-77.339914346812435</c:v>
                </c:pt>
                <c:pt idx="451">
                  <c:v>-77.617100372025178</c:v>
                </c:pt>
                <c:pt idx="452">
                  <c:v>-77.888680652516896</c:v>
                </c:pt>
                <c:pt idx="453">
                  <c:v>-78.154738935923547</c:v>
                </c:pt>
                <c:pt idx="454">
                  <c:v>-78.415359670820109</c:v>
                </c:pt>
                <c:pt idx="455">
                  <c:v>-78.670627848785884</c:v>
                </c:pt>
                <c:pt idx="456">
                  <c:v>-78.920628856436494</c:v>
                </c:pt>
                <c:pt idx="457">
                  <c:v>-79.165448337059516</c:v>
                </c:pt>
                <c:pt idx="458">
                  <c:v>-79.405172061474175</c:v>
                </c:pt>
                <c:pt idx="459">
                  <c:v>-79.639885807745657</c:v>
                </c:pt>
                <c:pt idx="460">
                  <c:v>-79.869675249370218</c:v>
                </c:pt>
                <c:pt idx="461">
                  <c:v>-80.094625851557836</c:v>
                </c:pt>
                <c:pt idx="462">
                  <c:v>-80.314822775239065</c:v>
                </c:pt>
                <c:pt idx="463">
                  <c:v>-80.530350788425082</c:v>
                </c:pt>
                <c:pt idx="464">
                  <c:v>-80.741294184561838</c:v>
                </c:pt>
                <c:pt idx="465">
                  <c:v>-80.947736707520278</c:v>
                </c:pt>
                <c:pt idx="466">
                  <c:v>-81.149761482879512</c:v>
                </c:pt>
                <c:pt idx="467">
                  <c:v>-81.347450955162714</c:v>
                </c:pt>
                <c:pt idx="468">
                  <c:v>-81.540886830702988</c:v>
                </c:pt>
                <c:pt idx="469">
                  <c:v>-81.73015002581856</c:v>
                </c:pt>
                <c:pt idx="470">
                  <c:v>-81.915320619995214</c:v>
                </c:pt>
                <c:pt idx="471">
                  <c:v>-82.096477813781462</c:v>
                </c:pt>
                <c:pt idx="472">
                  <c:v>-82.273699891112102</c:v>
                </c:pt>
                <c:pt idx="473">
                  <c:v>-82.447064185791476</c:v>
                </c:pt>
                <c:pt idx="474">
                  <c:v>-82.61664705187566</c:v>
                </c:pt>
                <c:pt idx="475">
                  <c:v>-82.782523837705654</c:v>
                </c:pt>
                <c:pt idx="476">
                  <c:v>-82.944768863355222</c:v>
                </c:pt>
                <c:pt idx="477">
                  <c:v>-83.103455401267738</c:v>
                </c:pt>
                <c:pt idx="478">
                  <c:v>-83.258655659867301</c:v>
                </c:pt>
                <c:pt idx="479">
                  <c:v>-83.410440769940323</c:v>
                </c:pt>
                <c:pt idx="480">
                  <c:v>-83.558880773594737</c:v>
                </c:pt>
                <c:pt idx="481">
                  <c:v>-83.704044615612474</c:v>
                </c:pt>
                <c:pt idx="482">
                  <c:v>-83.846000137022543</c:v>
                </c:pt>
                <c:pt idx="483">
                  <c:v>-83.984814070730238</c:v>
                </c:pt>
                <c:pt idx="484">
                  <c:v>-84.120552039047638</c:v>
                </c:pt>
                <c:pt idx="485">
                  <c:v>-84.253278552979495</c:v>
                </c:pt>
                <c:pt idx="486">
                  <c:v>-84.38305701312585</c:v>
                </c:pt>
                <c:pt idx="487">
                  <c:v>-84.509949712073549</c:v>
                </c:pt>
                <c:pt idx="488">
                  <c:v>-84.634017838152033</c:v>
                </c:pt>
                <c:pt idx="489">
                  <c:v>-84.755321480441594</c:v>
                </c:pt>
                <c:pt idx="490">
                  <c:v>-84.873919634924036</c:v>
                </c:pt>
                <c:pt idx="491">
                  <c:v>-84.989870211676646</c:v>
                </c:pt>
                <c:pt idx="492">
                  <c:v>-85.103230043014008</c:v>
                </c:pt>
                <c:pt idx="493">
                  <c:v>-85.21405489248933</c:v>
                </c:pt>
                <c:pt idx="494">
                  <c:v>-85.322399464672415</c:v>
                </c:pt>
                <c:pt idx="495">
                  <c:v>-85.428317415626992</c:v>
                </c:pt>
                <c:pt idx="496">
                  <c:v>-85.531861364015413</c:v>
                </c:pt>
                <c:pt idx="497">
                  <c:v>-85.63308290276278</c:v>
                </c:pt>
                <c:pt idx="498">
                  <c:v>-85.732032611218074</c:v>
                </c:pt>
                <c:pt idx="499">
                  <c:v>-85.828760067753834</c:v>
                </c:pt>
                <c:pt idx="500">
                  <c:v>-85.923313862750035</c:v>
                </c:pt>
                <c:pt idx="501">
                  <c:v>-86.015741611911039</c:v>
                </c:pt>
                <c:pt idx="502">
                  <c:v>-86.106089969870013</c:v>
                </c:pt>
                <c:pt idx="503">
                  <c:v>-86.1944046440357</c:v>
                </c:pt>
                <c:pt idx="504">
                  <c:v>-86.280730408642441</c:v>
                </c:pt>
                <c:pt idx="505">
                  <c:v>-86.365111118965885</c:v>
                </c:pt>
                <c:pt idx="506">
                  <c:v>-86.44758972566953</c:v>
                </c:pt>
                <c:pt idx="507">
                  <c:v>-86.528208289250585</c:v>
                </c:pt>
                <c:pt idx="508">
                  <c:v>-86.60700799455617</c:v>
                </c:pt>
                <c:pt idx="509">
                  <c:v>-86.684029165342253</c:v>
                </c:pt>
                <c:pt idx="510">
                  <c:v>-86.759311278850561</c:v>
                </c:pt>
                <c:pt idx="511">
                  <c:v>-86.832892980381274</c:v>
                </c:pt>
                <c:pt idx="512">
                  <c:v>-86.904812097840178</c:v>
                </c:pt>
                <c:pt idx="513">
                  <c:v>-86.975105656241098</c:v>
                </c:pt>
                <c:pt idx="514">
                  <c:v>-87.043809892146484</c:v>
                </c:pt>
                <c:pt idx="515">
                  <c:v>-87.110960268030112</c:v>
                </c:pt>
                <c:pt idx="516">
                  <c:v>-87.176591486547665</c:v>
                </c:pt>
                <c:pt idx="517">
                  <c:v>-87.240737504701812</c:v>
                </c:pt>
                <c:pt idx="518">
                  <c:v>-87.303431547890199</c:v>
                </c:pt>
                <c:pt idx="519">
                  <c:v>-87.364706123825698</c:v>
                </c:pt>
                <c:pt idx="520">
                  <c:v>-87.424593036319237</c:v>
                </c:pt>
                <c:pt idx="521">
                  <c:v>-87.483123398916916</c:v>
                </c:pt>
                <c:pt idx="522">
                  <c:v>-87.540327648383439</c:v>
                </c:pt>
                <c:pt idx="523">
                  <c:v>-87.596235558025313</c:v>
                </c:pt>
                <c:pt idx="524">
                  <c:v>-87.650876250848228</c:v>
                </c:pt>
                <c:pt idx="525">
                  <c:v>-87.704278212542789</c:v>
                </c:pt>
                <c:pt idx="526">
                  <c:v>-87.756469304294455</c:v>
                </c:pt>
                <c:pt idx="527">
                  <c:v>-87.807476775414187</c:v>
                </c:pt>
                <c:pt idx="528">
                  <c:v>-87.857327275785735</c:v>
                </c:pt>
                <c:pt idx="529">
                  <c:v>-87.906046868127959</c:v>
                </c:pt>
                <c:pt idx="530">
                  <c:v>-87.953661040068724</c:v>
                </c:pt>
                <c:pt idx="531">
                  <c:v>-88.000194716029867</c:v>
                </c:pt>
                <c:pt idx="532">
                  <c:v>-88.045672268921024</c:v>
                </c:pt>
                <c:pt idx="533">
                  <c:v>-88.090117531642093</c:v>
                </c:pt>
                <c:pt idx="534">
                  <c:v>-88.133553808393103</c:v>
                </c:pt>
                <c:pt idx="535">
                  <c:v>-88.176003885792113</c:v>
                </c:pt>
                <c:pt idx="536">
                  <c:v>-88.217490043800296</c:v>
                </c:pt>
                <c:pt idx="537">
                  <c:v>-88.258034066455494</c:v>
                </c:pt>
                <c:pt idx="538">
                  <c:v>-88.297657252414183</c:v>
                </c:pt>
                <c:pt idx="539">
                  <c:v>-88.336380425303133</c:v>
                </c:pt>
                <c:pt idx="540">
                  <c:v>-88.374223943881447</c:v>
                </c:pt>
                <c:pt idx="541">
                  <c:v>-88.411207712014757</c:v>
                </c:pt>
              </c:numCache>
            </c:numRef>
          </c:yVal>
          <c:smooth val="1"/>
          <c:extLst>
            <c:ext xmlns:c16="http://schemas.microsoft.com/office/drawing/2014/chart" uri="{C3380CC4-5D6E-409C-BE32-E72D297353CC}">
              <c16:uniqueId val="{00000001-9071-434A-B397-2C3D7F38C963}"/>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Control_Loop_Tables!$BI$19:$BI$560</c:f>
              <c:numCache>
                <c:formatCode>0.000</c:formatCode>
                <c:ptCount val="542"/>
                <c:pt idx="0">
                  <c:v>49.503868370095816</c:v>
                </c:pt>
                <c:pt idx="1">
                  <c:v>49.304757163731836</c:v>
                </c:pt>
                <c:pt idx="2">
                  <c:v>49.105687541962091</c:v>
                </c:pt>
                <c:pt idx="3">
                  <c:v>48.906661435568196</c:v>
                </c:pt>
                <c:pt idx="4">
                  <c:v>48.70768086355271</c:v>
                </c:pt>
                <c:pt idx="5">
                  <c:v>48.508747937033192</c:v>
                </c:pt>
                <c:pt idx="6">
                  <c:v>48.309864863295417</c:v>
                </c:pt>
                <c:pt idx="7">
                  <c:v>48.111033950010047</c:v>
                </c:pt>
                <c:pt idx="8">
                  <c:v>47.912257609618564</c:v>
                </c:pt>
                <c:pt idx="9">
                  <c:v>47.713538363892582</c:v>
                </c:pt>
                <c:pt idx="10">
                  <c:v>47.514878848674755</c:v>
                </c:pt>
                <c:pt idx="11">
                  <c:v>47.316281818802324</c:v>
                </c:pt>
                <c:pt idx="12">
                  <c:v>47.117750153221451</c:v>
                </c:pt>
                <c:pt idx="13">
                  <c:v>46.919286860296658</c:v>
                </c:pt>
                <c:pt idx="14">
                  <c:v>46.720895083318879</c:v>
                </c:pt>
                <c:pt idx="15">
                  <c:v>46.522578106220827</c:v>
                </c:pt>
                <c:pt idx="16">
                  <c:v>46.324339359498332</c:v>
                </c:pt>
                <c:pt idx="17">
                  <c:v>46.126182426348272</c:v>
                </c:pt>
                <c:pt idx="18">
                  <c:v>45.928111049022775</c:v>
                </c:pt>
                <c:pt idx="19">
                  <c:v>45.730129135406216</c:v>
                </c:pt>
                <c:pt idx="20">
                  <c:v>45.532240765816269</c:v>
                </c:pt>
                <c:pt idx="21">
                  <c:v>45.33445020003424</c:v>
                </c:pt>
                <c:pt idx="22">
                  <c:v>45.136761884565324</c:v>
                </c:pt>
                <c:pt idx="23">
                  <c:v>44.939180460131823</c:v>
                </c:pt>
                <c:pt idx="24">
                  <c:v>44.741710769400257</c:v>
                </c:pt>
                <c:pt idx="25">
                  <c:v>44.544357864942363</c:v>
                </c:pt>
                <c:pt idx="26">
                  <c:v>44.347127017430374</c:v>
                </c:pt>
                <c:pt idx="27">
                  <c:v>44.150023724064845</c:v>
                </c:pt>
                <c:pt idx="28">
                  <c:v>43.953053717232173</c:v>
                </c:pt>
                <c:pt idx="29">
                  <c:v>43.756222973389399</c:v>
                </c:pt>
                <c:pt idx="30">
                  <c:v>43.559537722169608</c:v>
                </c:pt>
                <c:pt idx="31">
                  <c:v>43.363004455702779</c:v>
                </c:pt>
                <c:pt idx="32">
                  <c:v>43.166629938143927</c:v>
                </c:pt>
                <c:pt idx="33">
                  <c:v>42.970421215397259</c:v>
                </c:pt>
                <c:pt idx="34">
                  <c:v>42.774385625026063</c:v>
                </c:pt>
                <c:pt idx="35">
                  <c:v>42.578530806333404</c:v>
                </c:pt>
                <c:pt idx="36">
                  <c:v>42.382864710597097</c:v>
                </c:pt>
                <c:pt idx="37">
                  <c:v>42.18739561144011</c:v>
                </c:pt>
                <c:pt idx="38">
                  <c:v>41.992132115313943</c:v>
                </c:pt>
                <c:pt idx="39">
                  <c:v>41.797083172071098</c:v>
                </c:pt>
                <c:pt idx="40">
                  <c:v>41.602258085597029</c:v>
                </c:pt>
                <c:pt idx="41">
                  <c:v>41.407666524470265</c:v>
                </c:pt>
                <c:pt idx="42">
                  <c:v>41.213318532614963</c:v>
                </c:pt>
                <c:pt idx="43">
                  <c:v>41.019224539905814</c:v>
                </c:pt>
                <c:pt idx="44">
                  <c:v>40.825395372680866</c:v>
                </c:pt>
                <c:pt idx="45">
                  <c:v>40.631842264113658</c:v>
                </c:pt>
                <c:pt idx="46">
                  <c:v>40.438576864389411</c:v>
                </c:pt>
                <c:pt idx="47">
                  <c:v>40.245611250626936</c:v>
                </c:pt>
                <c:pt idx="48">
                  <c:v>40.052957936480482</c:v>
                </c:pt>
                <c:pt idx="49">
                  <c:v>39.860629881350363</c:v>
                </c:pt>
                <c:pt idx="50">
                  <c:v>39.66864049912494</c:v>
                </c:pt>
                <c:pt idx="51">
                  <c:v>39.477003666370344</c:v>
                </c:pt>
                <c:pt idx="52">
                  <c:v>39.285733729876192</c:v>
                </c:pt>
                <c:pt idx="53">
                  <c:v>39.094845513460498</c:v>
                </c:pt>
                <c:pt idx="54">
                  <c:v>38.9043543239275</c:v>
                </c:pt>
                <c:pt idx="55">
                  <c:v>38.714275956066196</c:v>
                </c:pt>
                <c:pt idx="56">
                  <c:v>38.524626696568738</c:v>
                </c:pt>
                <c:pt idx="57">
                  <c:v>38.335423326741186</c:v>
                </c:pt>
                <c:pt idx="58">
                  <c:v>38.146683123869117</c:v>
                </c:pt>
                <c:pt idx="59">
                  <c:v>37.958423861095859</c:v>
                </c:pt>
                <c:pt idx="60">
                  <c:v>37.770663805661201</c:v>
                </c:pt>
                <c:pt idx="61">
                  <c:v>37.583421715340926</c:v>
                </c:pt>
                <c:pt idx="62">
                  <c:v>37.396716832922394</c:v>
                </c:pt>
                <c:pt idx="63">
                  <c:v>37.210568878542276</c:v>
                </c:pt>
                <c:pt idx="64">
                  <c:v>37.024998039707214</c:v>
                </c:pt>
                <c:pt idx="65">
                  <c:v>36.840024958814674</c:v>
                </c:pt>
                <c:pt idx="66">
                  <c:v>36.655670717982311</c:v>
                </c:pt>
                <c:pt idx="67">
                  <c:v>36.471956820995203</c:v>
                </c:pt>
                <c:pt idx="68">
                  <c:v>36.288905172174857</c:v>
                </c:pt>
                <c:pt idx="69">
                  <c:v>36.106538051974688</c:v>
                </c:pt>
                <c:pt idx="70">
                  <c:v>35.924878089105576</c:v>
                </c:pt>
                <c:pt idx="71">
                  <c:v>35.74394822899994</c:v>
                </c:pt>
                <c:pt idx="72">
                  <c:v>35.563771698425583</c:v>
                </c:pt>
                <c:pt idx="73">
                  <c:v>35.384371966067299</c:v>
                </c:pt>
                <c:pt idx="74">
                  <c:v>35.205772698905257</c:v>
                </c:pt>
                <c:pt idx="75">
                  <c:v>35.027997714229841</c:v>
                </c:pt>
                <c:pt idx="76">
                  <c:v>34.851070927147568</c:v>
                </c:pt>
                <c:pt idx="77">
                  <c:v>34.6750162934527</c:v>
                </c:pt>
                <c:pt idx="78">
                  <c:v>34.499857747758178</c:v>
                </c:pt>
                <c:pt idx="79">
                  <c:v>34.325619136806743</c:v>
                </c:pt>
                <c:pt idx="80">
                  <c:v>34.152324147910576</c:v>
                </c:pt>
                <c:pt idx="81">
                  <c:v>33.979996232500575</c:v>
                </c:pt>
                <c:pt idx="82">
                  <c:v>33.808658524803533</c:v>
                </c:pt>
                <c:pt idx="83">
                  <c:v>33.63833375570232</c:v>
                </c:pt>
                <c:pt idx="84">
                  <c:v>33.469044161882714</c:v>
                </c:pt>
                <c:pt idx="85">
                  <c:v>33.300811390413244</c:v>
                </c:pt>
                <c:pt idx="86">
                  <c:v>33.13365639895656</c:v>
                </c:pt>
                <c:pt idx="87">
                  <c:v>32.967599351866248</c:v>
                </c:pt>
                <c:pt idx="88">
                  <c:v>32.802659512475714</c:v>
                </c:pt>
                <c:pt idx="89">
                  <c:v>32.638855131947835</c:v>
                </c:pt>
                <c:pt idx="90">
                  <c:v>32.476203335111023</c:v>
                </c:pt>
                <c:pt idx="91">
                  <c:v>32.31472000377169</c:v>
                </c:pt>
                <c:pt idx="92">
                  <c:v>32.154419658051047</c:v>
                </c:pt>
                <c:pt idx="93">
                  <c:v>31.995315336359592</c:v>
                </c:pt>
                <c:pt idx="94">
                  <c:v>31.83741847467725</c:v>
                </c:pt>
                <c:pt idx="95">
                  <c:v>31.680738785868492</c:v>
                </c:pt>
                <c:pt idx="96">
                  <c:v>31.525284139813735</c:v>
                </c:pt>
                <c:pt idx="97">
                  <c:v>31.371060445188181</c:v>
                </c:pt>
                <c:pt idx="98">
                  <c:v>31.218071533763847</c:v>
                </c:pt>
                <c:pt idx="99">
                  <c:v>31.066319048149143</c:v>
                </c:pt>
                <c:pt idx="100">
                  <c:v>30.915802333908012</c:v>
                </c:pt>
                <c:pt idx="101">
                  <c:v>30.766518337027197</c:v>
                </c:pt>
                <c:pt idx="102">
                  <c:v>30.618461507709398</c:v>
                </c:pt>
                <c:pt idx="103">
                  <c:v>30.471623711473828</c:v>
                </c:pt>
                <c:pt idx="104">
                  <c:v>30.325994148539642</c:v>
                </c:pt>
                <c:pt idx="105">
                  <c:v>30.181559282446301</c:v>
                </c:pt>
                <c:pt idx="106">
                  <c:v>30.038302778836083</c:v>
                </c:pt>
                <c:pt idx="107">
                  <c:v>29.896205455280707</c:v>
                </c:pt>
                <c:pt idx="108">
                  <c:v>29.755245242980379</c:v>
                </c:pt>
                <c:pt idx="109">
                  <c:v>29.615397161097597</c:v>
                </c:pt>
                <c:pt idx="110">
                  <c:v>29.476633304412523</c:v>
                </c:pt>
                <c:pt idx="111">
                  <c:v>29.338922844897418</c:v>
                </c:pt>
                <c:pt idx="112">
                  <c:v>29.202232047711362</c:v>
                </c:pt>
                <c:pt idx="113">
                  <c:v>29.066524302011739</c:v>
                </c:pt>
                <c:pt idx="114">
                  <c:v>28.931760166862823</c:v>
                </c:pt>
                <c:pt idx="115">
                  <c:v>28.797897432403801</c:v>
                </c:pt>
                <c:pt idx="116">
                  <c:v>28.6648911963111</c:v>
                </c:pt>
                <c:pt idx="117">
                  <c:v>28.53269395546392</c:v>
                </c:pt>
                <c:pt idx="118">
                  <c:v>28.401255712586824</c:v>
                </c:pt>
                <c:pt idx="119">
                  <c:v>28.270524097515914</c:v>
                </c:pt>
                <c:pt idx="120">
                  <c:v>28.140444502600751</c:v>
                </c:pt>
                <c:pt idx="121">
                  <c:v>28.010960231630079</c:v>
                </c:pt>
                <c:pt idx="122">
                  <c:v>27.882012661542177</c:v>
                </c:pt>
                <c:pt idx="123">
                  <c:v>27.75354141606508</c:v>
                </c:pt>
                <c:pt idx="124">
                  <c:v>27.625484550320735</c:v>
                </c:pt>
                <c:pt idx="125">
                  <c:v>27.497778745323291</c:v>
                </c:pt>
                <c:pt idx="126">
                  <c:v>27.370359511209998</c:v>
                </c:pt>
                <c:pt idx="127">
                  <c:v>27.243161397960872</c:v>
                </c:pt>
                <c:pt idx="128">
                  <c:v>27.116118212290338</c:v>
                </c:pt>
                <c:pt idx="129">
                  <c:v>26.989163239339003</c:v>
                </c:pt>
                <c:pt idx="130">
                  <c:v>26.86222946774469</c:v>
                </c:pt>
                <c:pt idx="131">
                  <c:v>26.735249816641581</c:v>
                </c:pt>
                <c:pt idx="132">
                  <c:v>26.608157363118465</c:v>
                </c:pt>
                <c:pt idx="133">
                  <c:v>26.480885568659332</c:v>
                </c:pt>
                <c:pt idx="134">
                  <c:v>26.353368503105798</c:v>
                </c:pt>
                <c:pt idx="135">
                  <c:v>26.225541064695726</c:v>
                </c:pt>
                <c:pt idx="136">
                  <c:v>26.097339194778527</c:v>
                </c:pt>
                <c:pt idx="137">
                  <c:v>25.968700085851655</c:v>
                </c:pt>
                <c:pt idx="138">
                  <c:v>25.839562381630014</c:v>
                </c:pt>
                <c:pt idx="139">
                  <c:v>25.709866367932747</c:v>
                </c:pt>
                <c:pt idx="140">
                  <c:v>25.579554153261697</c:v>
                </c:pt>
                <c:pt idx="141">
                  <c:v>25.448569838037912</c:v>
                </c:pt>
                <c:pt idx="142">
                  <c:v>25.316859671574605</c:v>
                </c:pt>
                <c:pt idx="143">
                  <c:v>25.184372195971978</c:v>
                </c:pt>
                <c:pt idx="144">
                  <c:v>25.051058376245386</c:v>
                </c:pt>
                <c:pt idx="145">
                  <c:v>24.916871716120301</c:v>
                </c:pt>
                <c:pt idx="146">
                  <c:v>24.781768359057917</c:v>
                </c:pt>
                <c:pt idx="147">
                  <c:v>24.645707174205977</c:v>
                </c:pt>
                <c:pt idx="148">
                  <c:v>24.508649827100943</c:v>
                </c:pt>
                <c:pt idx="149">
                  <c:v>24.370560835078969</c:v>
                </c:pt>
                <c:pt idx="150">
                  <c:v>24.231407607477912</c:v>
                </c:pt>
                <c:pt idx="151">
                  <c:v>24.091160470841416</c:v>
                </c:pt>
                <c:pt idx="152">
                  <c:v>23.94979267944851</c:v>
                </c:pt>
                <c:pt idx="153">
                  <c:v>23.80728041160582</c:v>
                </c:pt>
                <c:pt idx="154">
                  <c:v>23.663602752244199</c:v>
                </c:pt>
                <c:pt idx="155">
                  <c:v>23.518741662448654</c:v>
                </c:pt>
                <c:pt idx="156">
                  <c:v>23.372681936643023</c:v>
                </c:pt>
                <c:pt idx="157">
                  <c:v>23.225411148214281</c:v>
                </c:pt>
                <c:pt idx="158">
                  <c:v>23.076919584429071</c:v>
                </c:pt>
                <c:pt idx="159">
                  <c:v>22.927200171542591</c:v>
                </c:pt>
                <c:pt idx="160">
                  <c:v>22.776248391035274</c:v>
                </c:pt>
                <c:pt idx="161">
                  <c:v>22.624062187944428</c:v>
                </c:pt>
                <c:pt idx="162">
                  <c:v>22.470641872266395</c:v>
                </c:pt>
                <c:pt idx="163">
                  <c:v>22.315990014413455</c:v>
                </c:pt>
                <c:pt idx="164">
                  <c:v>22.160111335699938</c:v>
                </c:pt>
                <c:pt idx="165">
                  <c:v>22.003012594816319</c:v>
                </c:pt>
                <c:pt idx="166">
                  <c:v>21.844702471225887</c:v>
                </c:pt>
                <c:pt idx="167">
                  <c:v>21.685191446382575</c:v>
                </c:pt>
                <c:pt idx="168">
                  <c:v>21.5244916836307</c:v>
                </c:pt>
                <c:pt idx="169">
                  <c:v>21.36261690759887</c:v>
                </c:pt>
                <c:pt idx="170">
                  <c:v>21.199582283851399</c:v>
                </c:pt>
                <c:pt idx="171">
                  <c:v>21.035404299500481</c:v>
                </c:pt>
                <c:pt idx="172">
                  <c:v>20.870100645431123</c:v>
                </c:pt>
                <c:pt idx="173">
                  <c:v>20.703690100723296</c:v>
                </c:pt>
                <c:pt idx="174">
                  <c:v>20.536192419800084</c:v>
                </c:pt>
                <c:pt idx="175">
                  <c:v>20.367628222764935</c:v>
                </c:pt>
                <c:pt idx="176">
                  <c:v>20.198018889334556</c:v>
                </c:pt>
                <c:pt idx="177">
                  <c:v>20.027386456708918</c:v>
                </c:pt>
                <c:pt idx="178">
                  <c:v>19.855753521668596</c:v>
                </c:pt>
                <c:pt idx="179">
                  <c:v>19.683143147127609</c:v>
                </c:pt>
                <c:pt idx="180">
                  <c:v>19.509578773323202</c:v>
                </c:pt>
                <c:pt idx="181">
                  <c:v>19.335084133770575</c:v>
                </c:pt>
                <c:pt idx="182">
                  <c:v>19.159683176067638</c:v>
                </c:pt>
                <c:pt idx="183">
                  <c:v>18.983399987589475</c:v>
                </c:pt>
                <c:pt idx="184">
                  <c:v>18.806258726077164</c:v>
                </c:pt>
                <c:pt idx="185">
                  <c:v>18.628283555087627</c:v>
                </c:pt>
                <c:pt idx="186">
                  <c:v>18.449498584242257</c:v>
                </c:pt>
                <c:pt idx="187">
                  <c:v>18.269927814183294</c:v>
                </c:pt>
                <c:pt idx="188">
                  <c:v>18.089595086124348</c:v>
                </c:pt>
                <c:pt idx="189">
                  <c:v>17.908524035860204</c:v>
                </c:pt>
                <c:pt idx="190">
                  <c:v>17.726738052084357</c:v>
                </c:pt>
                <c:pt idx="191">
                  <c:v>17.544260238848334</c:v>
                </c:pt>
                <c:pt idx="192">
                  <c:v>17.361113381986478</c:v>
                </c:pt>
                <c:pt idx="193">
                  <c:v>17.177319919320972</c:v>
                </c:pt>
                <c:pt idx="194">
                  <c:v>16.992901914455018</c:v>
                </c:pt>
                <c:pt idx="195">
                  <c:v>16.807881033960012</c:v>
                </c:pt>
                <c:pt idx="196">
                  <c:v>16.622278527758517</c:v>
                </c:pt>
                <c:pt idx="197">
                  <c:v>16.43611521250671</c:v>
                </c:pt>
                <c:pt idx="198">
                  <c:v>16.249411457779242</c:v>
                </c:pt>
                <c:pt idx="199">
                  <c:v>16.062187174864611</c:v>
                </c:pt>
                <c:pt idx="200">
                  <c:v>15.874461807980083</c:v>
                </c:pt>
                <c:pt idx="201">
                  <c:v>15.686254327722862</c:v>
                </c:pt>
                <c:pt idx="202">
                  <c:v>15.497583226577687</c:v>
                </c:pt>
                <c:pt idx="203">
                  <c:v>15.308466516307913</c:v>
                </c:pt>
                <c:pt idx="204">
                  <c:v>15.118921727064706</c:v>
                </c:pt>
                <c:pt idx="205">
                  <c:v>14.928965908054145</c:v>
                </c:pt>
                <c:pt idx="206">
                  <c:v>14.738615629612053</c:v>
                </c:pt>
                <c:pt idx="207">
                  <c:v>14.547886986540624</c:v>
                </c:pt>
                <c:pt idx="208">
                  <c:v>14.356795602572156</c:v>
                </c:pt>
                <c:pt idx="209">
                  <c:v>14.16535663582923</c:v>
                </c:pt>
                <c:pt idx="210">
                  <c:v>13.973584785161325</c:v>
                </c:pt>
                <c:pt idx="211">
                  <c:v>13.781494297243102</c:v>
                </c:pt>
                <c:pt idx="212">
                  <c:v>13.589098974327953</c:v>
                </c:pt>
                <c:pt idx="213">
                  <c:v>13.39641218255721</c:v>
                </c:pt>
                <c:pt idx="214">
                  <c:v>13.203446860732559</c:v>
                </c:pt>
                <c:pt idx="215">
                  <c:v>13.010215529465007</c:v>
                </c:pt>
                <c:pt idx="216">
                  <c:v>12.816730300621415</c:v>
                </c:pt>
                <c:pt idx="217">
                  <c:v>12.623002886994431</c:v>
                </c:pt>
                <c:pt idx="218">
                  <c:v>12.429044612128733</c:v>
                </c:pt>
                <c:pt idx="219">
                  <c:v>12.234866420241023</c:v>
                </c:pt>
                <c:pt idx="220">
                  <c:v>12.040478886176974</c:v>
                </c:pt>
                <c:pt idx="221">
                  <c:v>11.845892225354092</c:v>
                </c:pt>
                <c:pt idx="222">
                  <c:v>11.651116303643468</c:v>
                </c:pt>
                <c:pt idx="223">
                  <c:v>11.456160647147456</c:v>
                </c:pt>
                <c:pt idx="224">
                  <c:v>11.261034451837507</c:v>
                </c:pt>
                <c:pt idx="225">
                  <c:v>11.065746593016787</c:v>
                </c:pt>
                <c:pt idx="226">
                  <c:v>10.870305634579458</c:v>
                </c:pt>
                <c:pt idx="227">
                  <c:v>10.674719838041476</c:v>
                </c:pt>
                <c:pt idx="228">
                  <c:v>10.478997171320843</c:v>
                </c:pt>
                <c:pt idx="229">
                  <c:v>10.283145317248884</c:v>
                </c:pt>
                <c:pt idx="230">
                  <c:v>10.087171681800841</c:v>
                </c:pt>
                <c:pt idx="231">
                  <c:v>9.891083402032363</c:v>
                </c:pt>
                <c:pt idx="232">
                  <c:v>9.6948873537168883</c:v>
                </c:pt>
                <c:pt idx="233">
                  <c:v>9.4985901586790327</c:v>
                </c:pt>
                <c:pt idx="234">
                  <c:v>9.302198191824381</c:v>
                </c:pt>
                <c:pt idx="235">
                  <c:v>9.1057175878690551</c:v>
                </c:pt>
                <c:pt idx="236">
                  <c:v>8.9091542477740244</c:v>
                </c:pt>
                <c:pt idx="237">
                  <c:v>8.7125138448965664</c:v>
                </c:pt>
                <c:pt idx="238">
                  <c:v>8.5158018308688774</c:v>
                </c:pt>
                <c:pt idx="239">
                  <c:v>8.3190234412223738</c:v>
                </c:pt>
                <c:pt idx="240">
                  <c:v>8.1221837007761515</c:v>
                </c:pt>
                <c:pt idx="241">
                  <c:v>7.9252874288116892</c:v>
                </c:pt>
                <c:pt idx="242">
                  <c:v>7.7283392440597307</c:v>
                </c:pt>
                <c:pt idx="243">
                  <c:v>7.5313435695277366</c:v>
                </c:pt>
                <c:pt idx="244">
                  <c:v>7.3343046371978033</c:v>
                </c:pt>
                <c:pt idx="245">
                  <c:v>7.137226492628935</c:v>
                </c:pt>
                <c:pt idx="246">
                  <c:v>6.9401129994992221</c:v>
                </c:pt>
                <c:pt idx="247">
                  <c:v>6.7429678441248688</c:v>
                </c:pt>
                <c:pt idx="248">
                  <c:v>6.5457945399941195</c:v>
                </c:pt>
                <c:pt idx="249">
                  <c:v>6.3485964323586792</c:v>
                </c:pt>
                <c:pt idx="250">
                  <c:v>6.1513767029189843</c:v>
                </c:pt>
                <c:pt idx="251">
                  <c:v>5.9541383746491245</c:v>
                </c:pt>
                <c:pt idx="252">
                  <c:v>5.7568843167972261</c:v>
                </c:pt>
                <c:pt idx="253">
                  <c:v>5.5596172501059939</c:v>
                </c:pt>
                <c:pt idx="254">
                  <c:v>5.3623397522866734</c:v>
                </c:pt>
                <c:pt idx="255">
                  <c:v>5.1650542637870593</c:v>
                </c:pt>
                <c:pt idx="256">
                  <c:v>4.9677630938858828</c:v>
                </c:pt>
                <c:pt idx="257">
                  <c:v>4.7704684271429807</c:v>
                </c:pt>
                <c:pt idx="258">
                  <c:v>4.5731723302344802</c:v>
                </c:pt>
                <c:pt idx="259">
                  <c:v>4.3758767591947274</c:v>
                </c:pt>
                <c:pt idx="260">
                  <c:v>4.1785835670818621</c:v>
                </c:pt>
                <c:pt idx="261">
                  <c:v>3.9812945120825871</c:v>
                </c:pt>
                <c:pt idx="262">
                  <c:v>3.7840112660605629</c:v>
                </c:pt>
                <c:pt idx="263">
                  <c:v>3.5867354235517479</c:v>
                </c:pt>
                <c:pt idx="264">
                  <c:v>3.3894685112018408</c:v>
                </c:pt>
                <c:pt idx="265">
                  <c:v>3.1922119976354173</c:v>
                </c:pt>
                <c:pt idx="266">
                  <c:v>2.9949673037407769</c:v>
                </c:pt>
                <c:pt idx="267">
                  <c:v>2.7977358133476953</c:v>
                </c:pt>
                <c:pt idx="268">
                  <c:v>2.6005188842717848</c:v>
                </c:pt>
                <c:pt idx="269">
                  <c:v>2.4033178596919376</c:v>
                </c:pt>
                <c:pt idx="270">
                  <c:v>2.2061340798242499</c:v>
                </c:pt>
                <c:pt idx="271">
                  <c:v>2.0089688938515677</c:v>
                </c:pt>
                <c:pt idx="272">
                  <c:v>1.8118236720645842</c:v>
                </c:pt>
                <c:pt idx="273">
                  <c:v>1.6146998181677883</c:v>
                </c:pt>
                <c:pt idx="274">
                  <c:v>1.417598781703252</c:v>
                </c:pt>
                <c:pt idx="275">
                  <c:v>1.220522070541793</c:v>
                </c:pt>
                <c:pt idx="276">
                  <c:v>1.0234712633952503</c:v>
                </c:pt>
                <c:pt idx="277">
                  <c:v>0.82644802230181424</c:v>
                </c:pt>
                <c:pt idx="278">
                  <c:v>0.62945410503880539</c:v>
                </c:pt>
                <c:pt idx="279">
                  <c:v>0.43249137742129068</c:v>
                </c:pt>
                <c:pt idx="280">
                  <c:v>0.2355618254477595</c:v>
                </c:pt>
                <c:pt idx="281">
                  <c:v>3.8667567258475435E-2</c:v>
                </c:pt>
                <c:pt idx="282">
                  <c:v>-0.15818913512395971</c:v>
                </c:pt>
                <c:pt idx="283">
                  <c:v>-0.35500586429398356</c:v>
                </c:pt>
                <c:pt idx="284">
                  <c:v>-0.55178003622350491</c:v>
                </c:pt>
                <c:pt idx="285">
                  <c:v>-0.74850888929366022</c:v>
                </c:pt>
                <c:pt idx="286">
                  <c:v>-0.94518947360606553</c:v>
                </c:pt>
                <c:pt idx="287">
                  <c:v>-1.1418186405736646</c:v>
                </c:pt>
                <c:pt idx="288">
                  <c:v>-1.3383930327846523</c:v>
                </c:pt>
                <c:pt idx="289">
                  <c:v>-1.5349090741306508</c:v>
                </c:pt>
                <c:pt idx="290">
                  <c:v>-1.7313629601808189</c:v>
                </c:pt>
                <c:pt idx="291">
                  <c:v>-1.9277506487809126</c:v>
                </c:pt>
                <c:pt idx="292">
                  <c:v>-2.1240678508519979</c:v>
                </c:pt>
                <c:pt idx="293">
                  <c:v>-2.3203100213582228</c:v>
                </c:pt>
                <c:pt idx="294">
                  <c:v>-2.5164723504110711</c:v>
                </c:pt>
                <c:pt idx="295">
                  <c:v>-2.7125497544736317</c:v>
                </c:pt>
                <c:pt idx="296">
                  <c:v>-2.9085368676266707</c:v>
                </c:pt>
                <c:pt idx="297">
                  <c:v>-3.1044280328573026</c:v>
                </c:pt>
                <c:pt idx="298">
                  <c:v>-3.3002172933296094</c:v>
                </c:pt>
                <c:pt idx="299">
                  <c:v>-3.495898383596046</c:v>
                </c:pt>
                <c:pt idx="300">
                  <c:v>-3.6914647207094049</c:v>
                </c:pt>
                <c:pt idx="301">
                  <c:v>-3.8869093951954747</c:v>
                </c:pt>
                <c:pt idx="302">
                  <c:v>-4.0822251618483598</c:v>
                </c:pt>
                <c:pt idx="303">
                  <c:v>-4.2774044303120222</c:v>
                </c:pt>
                <c:pt idx="304">
                  <c:v>-4.4724392554128105</c:v>
                </c:pt>
                <c:pt idx="305">
                  <c:v>-4.6673213272134406</c:v>
                </c:pt>
                <c:pt idx="306">
                  <c:v>-4.8620419607576659</c:v>
                </c:pt>
                <c:pt idx="307">
                  <c:v>-5.0565920854823565</c:v>
                </c:pt>
                <c:pt idx="308">
                  <c:v>-5.2509622342742652</c:v>
                </c:pt>
                <c:pt idx="309">
                  <c:v>-5.445142532154037</c:v>
                </c:pt>
                <c:pt idx="310">
                  <c:v>-5.6391226845747262</c:v>
                </c:pt>
                <c:pt idx="311">
                  <c:v>-5.8328919653239772</c:v>
                </c:pt>
                <c:pt idx="312">
                  <c:v>-6.0264392040266079</c:v>
                </c:pt>
                <c:pt idx="313">
                  <c:v>-6.2197527732467606</c:v>
                </c:pt>
                <c:pt idx="314">
                  <c:v>-6.4128205751939031</c:v>
                </c:pt>
                <c:pt idx="315">
                  <c:v>-6.6056300280432501</c:v>
                </c:pt>
                <c:pt idx="316">
                  <c:v>-6.7981680518848995</c:v>
                </c:pt>
                <c:pt idx="317">
                  <c:v>-6.9904210543213487</c:v>
                </c:pt>
                <c:pt idx="318">
                  <c:v>-7.1823749157397572</c:v>
                </c:pt>
                <c:pt idx="319">
                  <c:v>-7.3740149742891941</c:v>
                </c:pt>
                <c:pt idx="320">
                  <c:v>-7.5653260106006801</c:v>
                </c:pt>
                <c:pt idx="321">
                  <c:v>-7.7562922322921937</c:v>
                </c:pt>
                <c:pt idx="322">
                  <c:v>-7.9468972583075512</c:v>
                </c:pt>
                <c:pt idx="323">
                  <c:v>-8.1371241031459167</c:v>
                </c:pt>
                <c:pt idx="324">
                  <c:v>-8.3269551610430472</c:v>
                </c:pt>
                <c:pt idx="325">
                  <c:v>-8.5163721901726603</c:v>
                </c:pt>
                <c:pt idx="326">
                  <c:v>-8.7053562969451797</c:v>
                </c:pt>
                <c:pt idx="327">
                  <c:v>-8.8938879204869643</c:v>
                </c:pt>
                <c:pt idx="328">
                  <c:v>-9.0819468173895341</c:v>
                </c:pt>
                <c:pt idx="329">
                  <c:v>-9.2695120468292682</c:v>
                </c:pt>
                <c:pt idx="330">
                  <c:v>-9.4565619561621315</c:v>
                </c:pt>
                <c:pt idx="331">
                  <c:v>-9.6430741671098001</c:v>
                </c:pt>
                <c:pt idx="332">
                  <c:v>-9.8290255626579945</c:v>
                </c:pt>
                <c:pt idx="333">
                  <c:v>-10.014392274800315</c:v>
                </c:pt>
                <c:pt idx="334">
                  <c:v>-10.199149673265326</c:v>
                </c:pt>
                <c:pt idx="335">
                  <c:v>-10.383272355375778</c:v>
                </c:pt>
                <c:pt idx="336">
                  <c:v>-10.566734137195308</c:v>
                </c:pt>
                <c:pt idx="337">
                  <c:v>-10.749508046128465</c:v>
                </c:pt>
                <c:pt idx="338">
                  <c:v>-10.931566315144233</c:v>
                </c:pt>
                <c:pt idx="339">
                  <c:v>-11.112880378804951</c:v>
                </c:pt>
                <c:pt idx="340">
                  <c:v>-11.293420871284464</c:v>
                </c:pt>
                <c:pt idx="341">
                  <c:v>-11.473157626572679</c:v>
                </c:pt>
                <c:pt idx="342">
                  <c:v>-11.652059681060436</c:v>
                </c:pt>
                <c:pt idx="343">
                  <c:v>-11.83009527871225</c:v>
                </c:pt>
                <c:pt idx="344">
                  <c:v>-12.007231879031043</c:v>
                </c:pt>
                <c:pt idx="345">
                  <c:v>-12.183436168025048</c:v>
                </c:pt>
                <c:pt idx="346">
                  <c:v>-12.358674072387604</c:v>
                </c:pt>
                <c:pt idx="347">
                  <c:v>-12.532910777096012</c:v>
                </c:pt>
                <c:pt idx="348">
                  <c:v>-12.706110746639212</c:v>
                </c:pt>
                <c:pt idx="349">
                  <c:v>-12.878237750071772</c:v>
                </c:pt>
                <c:pt idx="350">
                  <c:v>-13.049254890091088</c:v>
                </c:pt>
                <c:pt idx="351">
                  <c:v>-13.219124636318005</c:v>
                </c:pt>
                <c:pt idx="352">
                  <c:v>-13.387808862956344</c:v>
                </c:pt>
                <c:pt idx="353">
                  <c:v>-13.555268890982209</c:v>
                </c:pt>
                <c:pt idx="354">
                  <c:v>-13.721465535004963</c:v>
                </c:pt>
                <c:pt idx="355">
                  <c:v>-13.886359154909844</c:v>
                </c:pt>
                <c:pt idx="356">
                  <c:v>-14.049909712376721</c:v>
                </c:pt>
                <c:pt idx="357">
                  <c:v>-14.212076832333501</c:v>
                </c:pt>
                <c:pt idx="358">
                  <c:v>-14.372819869372936</c:v>
                </c:pt>
                <c:pt idx="359">
                  <c:v>-14.532097979129571</c:v>
                </c:pt>
                <c:pt idx="360">
                  <c:v>-14.689870194568126</c:v>
                </c:pt>
                <c:pt idx="361">
                  <c:v>-14.84609550709914</c:v>
                </c:pt>
                <c:pt idx="362">
                  <c:v>-15.000732952389011</c:v>
                </c:pt>
                <c:pt idx="363">
                  <c:v>-15.153741700685686</c:v>
                </c:pt>
                <c:pt idx="364">
                  <c:v>-15.30508115143143</c:v>
                </c:pt>
                <c:pt idx="365">
                  <c:v>-15.454711031882514</c:v>
                </c:pt>
                <c:pt idx="366">
                  <c:v>-15.602591499404273</c:v>
                </c:pt>
                <c:pt idx="367">
                  <c:v>-15.748683247054021</c:v>
                </c:pt>
                <c:pt idx="368">
                  <c:v>-15.892947612015965</c:v>
                </c:pt>
                <c:pt idx="369">
                  <c:v>-16.035346686395783</c:v>
                </c:pt>
                <c:pt idx="370">
                  <c:v>-16.175843429833648</c:v>
                </c:pt>
                <c:pt idx="371">
                  <c:v>-16.314401783349425</c:v>
                </c:pt>
                <c:pt idx="372">
                  <c:v>-16.45098678378411</c:v>
                </c:pt>
                <c:pt idx="373">
                  <c:v>-16.585564678167305</c:v>
                </c:pt>
                <c:pt idx="374">
                  <c:v>-16.718103037300967</c:v>
                </c:pt>
                <c:pt idx="375">
                  <c:v>-16.848570867826268</c:v>
                </c:pt>
                <c:pt idx="376">
                  <c:v>-16.97693872201399</c:v>
                </c:pt>
                <c:pt idx="377">
                  <c:v>-17.103178804508765</c:v>
                </c:pt>
                <c:pt idx="378">
                  <c:v>-17.227265075250216</c:v>
                </c:pt>
                <c:pt idx="379">
                  <c:v>-17.349173347798658</c:v>
                </c:pt>
                <c:pt idx="380">
                  <c:v>-17.46888138230501</c:v>
                </c:pt>
                <c:pt idx="381">
                  <c:v>-17.586368972388094</c:v>
                </c:pt>
                <c:pt idx="382">
                  <c:v>-17.70161802521265</c:v>
                </c:pt>
                <c:pt idx="383">
                  <c:v>-17.814612634105323</c:v>
                </c:pt>
                <c:pt idx="384">
                  <c:v>-17.925339143094199</c:v>
                </c:pt>
                <c:pt idx="385">
                  <c:v>-18.033786202818366</c:v>
                </c:pt>
                <c:pt idx="386">
                  <c:v>-18.139944817320995</c:v>
                </c:pt>
                <c:pt idx="387">
                  <c:v>-18.243808381313425</c:v>
                </c:pt>
                <c:pt idx="388">
                  <c:v>-18.345372707579134</c:v>
                </c:pt>
                <c:pt idx="389">
                  <c:v>-18.444636044271444</c:v>
                </c:pt>
                <c:pt idx="390">
                  <c:v>-18.541599081949691</c:v>
                </c:pt>
                <c:pt idx="391">
                  <c:v>-18.63626495028797</c:v>
                </c:pt>
                <c:pt idx="392">
                  <c:v>-18.728639204486409</c:v>
                </c:pt>
                <c:pt idx="393">
                  <c:v>-18.818729801504659</c:v>
                </c:pt>
                <c:pt idx="394">
                  <c:v>-18.906547066329519</c:v>
                </c:pt>
                <c:pt idx="395">
                  <c:v>-18.992103648575267</c:v>
                </c:pt>
                <c:pt idx="396">
                  <c:v>-19.075414469797906</c:v>
                </c:pt>
                <c:pt idx="397">
                  <c:v>-19.156496661982054</c:v>
                </c:pt>
                <c:pt idx="398">
                  <c:v>-19.235369497729305</c:v>
                </c:pt>
                <c:pt idx="399">
                  <c:v>-19.312054312738972</c:v>
                </c:pt>
                <c:pt idx="400">
                  <c:v>-19.386574421226847</c:v>
                </c:pt>
                <c:pt idx="401">
                  <c:v>-19.458955024971971</c:v>
                </c:pt>
                <c:pt idx="402">
                  <c:v>-19.52922311671848</c:v>
                </c:pt>
                <c:pt idx="403">
                  <c:v>-19.597407378683677</c:v>
                </c:pt>
                <c:pt idx="404">
                  <c:v>-19.663538076941879</c:v>
                </c:pt>
                <c:pt idx="405">
                  <c:v>-19.727646952459082</c:v>
                </c:pt>
                <c:pt idx="406">
                  <c:v>-19.789767109553559</c:v>
                </c:pt>
                <c:pt idx="407">
                  <c:v>-19.84993290254457</c:v>
                </c:pt>
                <c:pt idx="408">
                  <c:v>-19.908179821334741</c:v>
                </c:pt>
                <c:pt idx="409">
                  <c:v>-19.964544376645154</c:v>
                </c:pt>
                <c:pt idx="410">
                  <c:v>-20.01906398558884</c:v>
                </c:pt>
                <c:pt idx="411">
                  <c:v>-20.071776858233818</c:v>
                </c:pt>
                <c:pt idx="412">
                  <c:v>-20.122721885758569</c:v>
                </c:pt>
                <c:pt idx="413">
                  <c:v>-20.17193853076305</c:v>
                </c:pt>
                <c:pt idx="414">
                  <c:v>-20.219466720242881</c:v>
                </c:pt>
                <c:pt idx="415">
                  <c:v>-20.265346741686731</c:v>
                </c:pt>
                <c:pt idx="416">
                  <c:v>-20.309619142703607</c:v>
                </c:pt>
                <c:pt idx="417">
                  <c:v>-20.352324634531463</c:v>
                </c:pt>
                <c:pt idx="418">
                  <c:v>-20.393503999729489</c:v>
                </c:pt>
                <c:pt idx="419">
                  <c:v>-20.433198004301016</c:v>
                </c:pt>
                <c:pt idx="420">
                  <c:v>-20.471447314446344</c:v>
                </c:pt>
                <c:pt idx="421">
                  <c:v>-20.508292418095593</c:v>
                </c:pt>
                <c:pt idx="422">
                  <c:v>-20.543773551325284</c:v>
                </c:pt>
                <c:pt idx="423">
                  <c:v>-20.577930629721095</c:v>
                </c:pt>
                <c:pt idx="424">
                  <c:v>-20.610803184707805</c:v>
                </c:pt>
                <c:pt idx="425">
                  <c:v>-20.642430304831457</c:v>
                </c:pt>
                <c:pt idx="426">
                  <c:v>-20.672850581946228</c:v>
                </c:pt>
                <c:pt idx="427">
                  <c:v>-20.702102062226647</c:v>
                </c:pt>
                <c:pt idx="428">
                  <c:v>-20.730222201902201</c:v>
                </c:pt>
                <c:pt idx="429">
                  <c:v>-20.757247827585527</c:v>
                </c:pt>
                <c:pt idx="430">
                  <c:v>-20.783215101048317</c:v>
                </c:pt>
                <c:pt idx="431">
                  <c:v>-20.808159488279657</c:v>
                </c:pt>
                <c:pt idx="432">
                  <c:v>-20.832115732650927</c:v>
                </c:pt>
                <c:pt idx="433">
                  <c:v>-20.855117831998097</c:v>
                </c:pt>
                <c:pt idx="434">
                  <c:v>-20.877199019425525</c:v>
                </c:pt>
                <c:pt idx="435">
                  <c:v>-20.898391747629827</c:v>
                </c:pt>
                <c:pt idx="436">
                  <c:v>-20.918727676537504</c:v>
                </c:pt>
                <c:pt idx="437">
                  <c:v>-20.938237664050266</c:v>
                </c:pt>
                <c:pt idx="438">
                  <c:v>-20.956951759691208</c:v>
                </c:pt>
                <c:pt idx="439">
                  <c:v>-20.97489920094711</c:v>
                </c:pt>
                <c:pt idx="440">
                  <c:v>-20.992108412105651</c:v>
                </c:pt>
                <c:pt idx="441">
                  <c:v>-21.008607005390424</c:v>
                </c:pt>
                <c:pt idx="442">
                  <c:v>-21.024421784202524</c:v>
                </c:pt>
                <c:pt idx="443">
                  <c:v>-21.039578748283368</c:v>
                </c:pt>
                <c:pt idx="444">
                  <c:v>-21.054103100620495</c:v>
                </c:pt>
                <c:pt idx="445">
                  <c:v>-21.068019255926064</c:v>
                </c:pt>
                <c:pt idx="446">
                  <c:v>-21.081350850524334</c:v>
                </c:pt>
                <c:pt idx="447">
                  <c:v>-21.094120753494956</c:v>
                </c:pt>
                <c:pt idx="448">
                  <c:v>-21.106351078924376</c:v>
                </c:pt>
                <c:pt idx="449">
                  <c:v>-21.118063199128017</c:v>
                </c:pt>
                <c:pt idx="450">
                  <c:v>-21.129277758714888</c:v>
                </c:pt>
                <c:pt idx="451">
                  <c:v>-21.140014689371558</c:v>
                </c:pt>
                <c:pt idx="452">
                  <c:v>-21.150293225254888</c:v>
                </c:pt>
                <c:pt idx="453">
                  <c:v>-21.16013191888683</c:v>
                </c:pt>
                <c:pt idx="454">
                  <c:v>-21.169548657456279</c:v>
                </c:pt>
                <c:pt idx="455">
                  <c:v>-21.178560679436657</c:v>
                </c:pt>
                <c:pt idx="456">
                  <c:v>-21.187184591439184</c:v>
                </c:pt>
                <c:pt idx="457">
                  <c:v>-21.195436385224721</c:v>
                </c:pt>
                <c:pt idx="458">
                  <c:v>-21.203331454807461</c:v>
                </c:pt>
                <c:pt idx="459">
                  <c:v>-21.210884613586821</c:v>
                </c:pt>
                <c:pt idx="460">
                  <c:v>-21.218110111452717</c:v>
                </c:pt>
                <c:pt idx="461">
                  <c:v>-21.22502165181222</c:v>
                </c:pt>
                <c:pt idx="462">
                  <c:v>-21.231632408493603</c:v>
                </c:pt>
                <c:pt idx="463">
                  <c:v>-21.237955042486476</c:v>
                </c:pt>
                <c:pt idx="464">
                  <c:v>-21.244001718482693</c:v>
                </c:pt>
                <c:pt idx="465">
                  <c:v>-21.249784121186764</c:v>
                </c:pt>
                <c:pt idx="466">
                  <c:v>-21.25531347136798</c:v>
                </c:pt>
                <c:pt idx="467">
                  <c:v>-21.260600541630815</c:v>
                </c:pt>
                <c:pt idx="468">
                  <c:v>-21.265655671882584</c:v>
                </c:pt>
                <c:pt idx="469">
                  <c:v>-21.270488784483042</c:v>
                </c:pt>
                <c:pt idx="470">
                  <c:v>-21.275109399058859</c:v>
                </c:pt>
                <c:pt idx="471">
                  <c:v>-21.279526646973849</c:v>
                </c:pt>
                <c:pt idx="472">
                  <c:v>-21.283749285444134</c:v>
                </c:pt>
                <c:pt idx="473">
                  <c:v>-21.287785711291338</c:v>
                </c:pt>
                <c:pt idx="474">
                  <c:v>-21.29164397433037</c:v>
                </c:pt>
                <c:pt idx="475">
                  <c:v>-21.295331790385251</c:v>
                </c:pt>
                <c:pt idx="476">
                  <c:v>-21.298856553934378</c:v>
                </c:pt>
                <c:pt idx="477">
                  <c:v>-21.30222535038363</c:v>
                </c:pt>
                <c:pt idx="478">
                  <c:v>-21.305444967967894</c:v>
                </c:pt>
                <c:pt idx="479">
                  <c:v>-21.308521909284085</c:v>
                </c:pt>
                <c:pt idx="480">
                  <c:v>-21.31146240245841</c:v>
                </c:pt>
                <c:pt idx="481">
                  <c:v>-21.314272411951865</c:v>
                </c:pt>
                <c:pt idx="482">
                  <c:v>-21.316957649009019</c:v>
                </c:pt>
                <c:pt idx="483">
                  <c:v>-21.319523581754947</c:v>
                </c:pt>
                <c:pt idx="484">
                  <c:v>-21.32197544494808</c:v>
                </c:pt>
                <c:pt idx="485">
                  <c:v>-21.324318249392725</c:v>
                </c:pt>
                <c:pt idx="486">
                  <c:v>-21.326556791021435</c:v>
                </c:pt>
                <c:pt idx="487">
                  <c:v>-21.328695659652162</c:v>
                </c:pt>
                <c:pt idx="488">
                  <c:v>-21.330739247428493</c:v>
                </c:pt>
                <c:pt idx="489">
                  <c:v>-21.332691756951622</c:v>
                </c:pt>
                <c:pt idx="490">
                  <c:v>-21.334557209110979</c:v>
                </c:pt>
                <c:pt idx="491">
                  <c:v>-21.336339450622074</c:v>
                </c:pt>
                <c:pt idx="492">
                  <c:v>-21.338042161279532</c:v>
                </c:pt>
                <c:pt idx="493">
                  <c:v>-21.33966886093382</c:v>
                </c:pt>
                <c:pt idx="494">
                  <c:v>-21.341222916200159</c:v>
                </c:pt>
                <c:pt idx="495">
                  <c:v>-21.34270754690705</c:v>
                </c:pt>
                <c:pt idx="496">
                  <c:v>-21.344125832292697</c:v>
                </c:pt>
                <c:pt idx="497">
                  <c:v>-21.34548071695821</c:v>
                </c:pt>
                <c:pt idx="498">
                  <c:v>-21.346775016585298</c:v>
                </c:pt>
                <c:pt idx="499">
                  <c:v>-21.348011423425017</c:v>
                </c:pt>
                <c:pt idx="500">
                  <c:v>-21.349192511567651</c:v>
                </c:pt>
                <c:pt idx="501">
                  <c:v>-21.350320741999127</c:v>
                </c:pt>
                <c:pt idx="502">
                  <c:v>-21.351398467452807</c:v>
                </c:pt>
                <c:pt idx="503">
                  <c:v>-21.352427937063613</c:v>
                </c:pt>
                <c:pt idx="504">
                  <c:v>-21.353411300831301</c:v>
                </c:pt>
                <c:pt idx="505">
                  <c:v>-21.354350613900227</c:v>
                </c:pt>
                <c:pt idx="506">
                  <c:v>-21.355247840662194</c:v>
                </c:pt>
                <c:pt idx="507">
                  <c:v>-21.356104858689164</c:v>
                </c:pt>
                <c:pt idx="508">
                  <c:v>-21.356923462501914</c:v>
                </c:pt>
                <c:pt idx="509">
                  <c:v>-21.357705367181147</c:v>
                </c:pt>
                <c:pt idx="510">
                  <c:v>-21.358452211827501</c:v>
                </c:pt>
                <c:pt idx="511">
                  <c:v>-21.359165562875368</c:v>
                </c:pt>
                <c:pt idx="512">
                  <c:v>-21.3598469172669</c:v>
                </c:pt>
                <c:pt idx="513">
                  <c:v>-21.360497705491571</c:v>
                </c:pt>
                <c:pt idx="514">
                  <c:v>-21.361119294496589</c:v>
                </c:pt>
                <c:pt idx="515">
                  <c:v>-21.361712990473517</c:v>
                </c:pt>
                <c:pt idx="516">
                  <c:v>-21.362280041525644</c:v>
                </c:pt>
                <c:pt idx="517">
                  <c:v>-21.362821640220698</c:v>
                </c:pt>
                <c:pt idx="518">
                  <c:v>-21.363338926035599</c:v>
                </c:pt>
                <c:pt idx="519">
                  <c:v>-21.363832987693559</c:v>
                </c:pt>
                <c:pt idx="520">
                  <c:v>-21.364304865403057</c:v>
                </c:pt>
                <c:pt idx="521">
                  <c:v>-21.364755552998229</c:v>
                </c:pt>
                <c:pt idx="522">
                  <c:v>-21.365185999987212</c:v>
                </c:pt>
                <c:pt idx="523">
                  <c:v>-21.365597113512244</c:v>
                </c:pt>
                <c:pt idx="524">
                  <c:v>-21.365989760223844</c:v>
                </c:pt>
                <c:pt idx="525">
                  <c:v>-21.366364768073595</c:v>
                </c:pt>
                <c:pt idx="526">
                  <c:v>-21.366722928029347</c:v>
                </c:pt>
                <c:pt idx="527">
                  <c:v>-21.367064995715168</c:v>
                </c:pt>
                <c:pt idx="528">
                  <c:v>-21.367391692979272</c:v>
                </c:pt>
                <c:pt idx="529">
                  <c:v>-21.367703709394362</c:v>
                </c:pt>
                <c:pt idx="530">
                  <c:v>-21.368001703690986</c:v>
                </c:pt>
                <c:pt idx="531">
                  <c:v>-21.368286305129303</c:v>
                </c:pt>
                <c:pt idx="532">
                  <c:v>-21.368558114809296</c:v>
                </c:pt>
                <c:pt idx="533">
                  <c:v>-21.368817706924538</c:v>
                </c:pt>
                <c:pt idx="534">
                  <c:v>-21.369065629959874</c:v>
                </c:pt>
                <c:pt idx="535">
                  <c:v>-21.369302407837083</c:v>
                </c:pt>
                <c:pt idx="536">
                  <c:v>-21.369528541009227</c:v>
                </c:pt>
                <c:pt idx="537">
                  <c:v>-21.369744507507406</c:v>
                </c:pt>
                <c:pt idx="538">
                  <c:v>-21.369950763940899</c:v>
                </c:pt>
                <c:pt idx="539">
                  <c:v>-21.370147746453021</c:v>
                </c:pt>
                <c:pt idx="540">
                  <c:v>-21.370335871634833</c:v>
                </c:pt>
                <c:pt idx="541">
                  <c:v>-21.370515537398511</c:v>
                </c:pt>
              </c:numCache>
            </c:numRef>
          </c:yVal>
          <c:smooth val="1"/>
          <c:extLst>
            <c:ext xmlns:c16="http://schemas.microsoft.com/office/drawing/2014/chart" uri="{C3380CC4-5D6E-409C-BE32-E72D297353CC}">
              <c16:uniqueId val="{00000000-79CC-43C6-9415-C1FDEEB8D57B}"/>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Control_Loop_Tables!$BJ$19:$BJ$560</c:f>
              <c:numCache>
                <c:formatCode>General</c:formatCode>
                <c:ptCount val="542"/>
                <c:pt idx="0">
                  <c:v>92.276824882792312</c:v>
                </c:pt>
                <c:pt idx="1">
                  <c:v>92.329516348482031</c:v>
                </c:pt>
                <c:pt idx="2">
                  <c:v>92.383410781884265</c:v>
                </c:pt>
                <c:pt idx="3">
                  <c:v>92.438534476052041</c:v>
                </c:pt>
                <c:pt idx="4">
                  <c:v>92.494914214804936</c:v>
                </c:pt>
                <c:pt idx="5">
                  <c:v>92.552577275685124</c:v>
                </c:pt>
                <c:pt idx="6">
                  <c:v>92.611551432403857</c:v>
                </c:pt>
                <c:pt idx="7">
                  <c:v>92.671864956727703</c:v>
                </c:pt>
                <c:pt idx="8">
                  <c:v>92.733546619751664</c:v>
                </c:pt>
                <c:pt idx="9">
                  <c:v>92.796625692501138</c:v>
                </c:pt>
                <c:pt idx="10">
                  <c:v>92.861131945801901</c:v>
                </c:pt>
                <c:pt idx="11">
                  <c:v>92.927095649352594</c:v>
                </c:pt>
                <c:pt idx="12">
                  <c:v>92.994547569931129</c:v>
                </c:pt>
                <c:pt idx="13">
                  <c:v>93.063518968658485</c:v>
                </c:pt>
                <c:pt idx="14">
                  <c:v>93.134041597242842</c:v>
                </c:pt>
                <c:pt idx="15">
                  <c:v>93.206147693118254</c:v>
                </c:pt>
                <c:pt idx="16">
                  <c:v>93.279869973389623</c:v>
                </c:pt>
                <c:pt idx="17">
                  <c:v>93.355241627486606</c:v>
                </c:pt>
                <c:pt idx="18">
                  <c:v>93.432296308427595</c:v>
                </c:pt>
                <c:pt idx="19">
                  <c:v>93.511068122584021</c:v>
                </c:pt>
                <c:pt idx="20">
                  <c:v>93.591591617833231</c:v>
                </c:pt>
                <c:pt idx="21">
                  <c:v>93.673901769977377</c:v>
                </c:pt>
                <c:pt idx="22">
                  <c:v>93.758033967302026</c:v>
                </c:pt>
                <c:pt idx="23">
                  <c:v>93.84402399313916</c:v>
                </c:pt>
                <c:pt idx="24">
                  <c:v>93.93190800629128</c:v>
                </c:pt>
                <c:pt idx="25">
                  <c:v>94.021722519167653</c:v>
                </c:pt>
                <c:pt idx="26">
                  <c:v>94.113504373473376</c:v>
                </c:pt>
                <c:pt idx="27">
                  <c:v>94.207290713284763</c:v>
                </c:pt>
                <c:pt idx="28">
                  <c:v>94.303118955336103</c:v>
                </c:pt>
                <c:pt idx="29">
                  <c:v>94.40102675633338</c:v>
                </c:pt>
                <c:pt idx="30">
                  <c:v>94.501051977103472</c:v>
                </c:pt>
                <c:pt idx="31">
                  <c:v>94.603232643375762</c:v>
                </c:pt>
                <c:pt idx="32">
                  <c:v>94.707606902986228</c:v>
                </c:pt>
                <c:pt idx="33">
                  <c:v>94.814212979284378</c:v>
                </c:pt>
                <c:pt idx="34">
                  <c:v>94.92308912051449</c:v>
                </c:pt>
                <c:pt idx="35">
                  <c:v>95.034273544932361</c:v>
                </c:pt>
                <c:pt idx="36">
                  <c:v>95.147804381413522</c:v>
                </c:pt>
                <c:pt idx="37">
                  <c:v>95.26371960529508</c:v>
                </c:pt>
                <c:pt idx="38">
                  <c:v>95.382056969192575</c:v>
                </c:pt>
                <c:pt idx="39">
                  <c:v>95.502853928516629</c:v>
                </c:pt>
                <c:pt idx="40">
                  <c:v>95.626147561416516</c:v>
                </c:pt>
                <c:pt idx="41">
                  <c:v>95.751974482864625</c:v>
                </c:pt>
                <c:pt idx="42">
                  <c:v>95.880370752594686</c:v>
                </c:pt>
                <c:pt idx="43">
                  <c:v>96.011371776599503</c:v>
                </c:pt>
                <c:pt idx="44">
                  <c:v>96.145012201894119</c:v>
                </c:pt>
                <c:pt idx="45">
                  <c:v>96.2813258042477</c:v>
                </c:pt>
                <c:pt idx="46">
                  <c:v>96.420345368586354</c:v>
                </c:pt>
                <c:pt idx="47">
                  <c:v>96.562102561773969</c:v>
                </c:pt>
                <c:pt idx="48">
                  <c:v>96.706627797483023</c:v>
                </c:pt>
                <c:pt idx="49">
                  <c:v>96.853950092871912</c:v>
                </c:pt>
                <c:pt idx="50">
                  <c:v>97.004096916798161</c:v>
                </c:pt>
                <c:pt idx="51">
                  <c:v>97.157094029310656</c:v>
                </c:pt>
                <c:pt idx="52">
                  <c:v>97.312965312178477</c:v>
                </c:pt>
                <c:pt idx="53">
                  <c:v>97.471732590237593</c:v>
                </c:pt>
                <c:pt idx="54">
                  <c:v>97.633415443361812</c:v>
                </c:pt>
                <c:pt idx="55">
                  <c:v>97.798031008892607</c:v>
                </c:pt>
                <c:pt idx="56">
                  <c:v>97.965593774401299</c:v>
                </c:pt>
                <c:pt idx="57">
                  <c:v>98.136115360694859</c:v>
                </c:pt>
                <c:pt idx="58">
                  <c:v>98.309604295026915</c:v>
                </c:pt>
                <c:pt idx="59">
                  <c:v>98.486065774525102</c:v>
                </c:pt>
                <c:pt idx="60">
                  <c:v>98.66550141991209</c:v>
                </c:pt>
                <c:pt idx="61">
                  <c:v>98.847909019660946</c:v>
                </c:pt>
                <c:pt idx="62">
                  <c:v>99.0332822648015</c:v>
                </c:pt>
                <c:pt idx="63">
                  <c:v>99.221610474683146</c:v>
                </c:pt>
                <c:pt idx="64">
                  <c:v>99.412878314083017</c:v>
                </c:pt>
                <c:pt idx="65">
                  <c:v>99.607065502156217</c:v>
                </c:pt>
                <c:pt idx="66">
                  <c:v>99.804146513831753</c:v>
                </c:pt>
                <c:pt idx="67">
                  <c:v>100.0040902743736</c:v>
                </c:pt>
                <c:pt idx="68">
                  <c:v>100.20685984795702</c:v>
                </c:pt>
                <c:pt idx="69">
                  <c:v>100.41241212123973</c:v>
                </c:pt>
                <c:pt idx="70">
                  <c:v>100.62069748305881</c:v>
                </c:pt>
                <c:pt idx="71">
                  <c:v>100.83165950152734</c:v>
                </c:pt>
                <c:pt idx="72">
                  <c:v>101.0452345999681</c:v>
                </c:pt>
                <c:pt idx="73">
                  <c:v>101.26135173328321</c:v>
                </c:pt>
                <c:pt idx="74">
                  <c:v>101.47993206652944</c:v>
                </c:pt>
                <c:pt idx="75">
                  <c:v>101.70088865764161</c:v>
                </c:pt>
                <c:pt idx="76">
                  <c:v>101.92412614642083</c:v>
                </c:pt>
                <c:pt idx="77">
                  <c:v>102.14954045208222</c:v>
                </c:pt>
                <c:pt idx="78">
                  <c:v>102.37701848182837</c:v>
                </c:pt>
                <c:pt idx="79">
                  <c:v>102.6064378530849</c:v>
                </c:pt>
                <c:pt idx="80">
                  <c:v>102.83766663220179</c:v>
                </c:pt>
                <c:pt idx="81">
                  <c:v>103.07056309257079</c:v>
                </c:pt>
                <c:pt idx="82">
                  <c:v>103.30497549525528</c:v>
                </c:pt>
                <c:pt idx="83">
                  <c:v>103.54074189535625</c:v>
                </c:pt>
                <c:pt idx="84">
                  <c:v>103.7776899774332</c:v>
                </c:pt>
                <c:pt idx="85">
                  <c:v>104.01563692339825</c:v>
                </c:pt>
                <c:pt idx="86">
                  <c:v>104.2543893163386</c:v>
                </c:pt>
                <c:pt idx="87">
                  <c:v>104.49374308376399</c:v>
                </c:pt>
                <c:pt idx="88">
                  <c:v>104.73348348375904</c:v>
                </c:pt>
                <c:pt idx="89">
                  <c:v>104.97338513747381</c:v>
                </c:pt>
                <c:pt idx="90">
                  <c:v>105.21321211130261</c:v>
                </c:pt>
                <c:pt idx="91">
                  <c:v>105.45271805196948</c:v>
                </c:pt>
                <c:pt idx="92">
                  <c:v>105.69164637755679</c:v>
                </c:pt>
                <c:pt idx="93">
                  <c:v>105.92973052729273</c:v>
                </c:pt>
                <c:pt idx="94">
                  <c:v>106.16669427263534</c:v>
                </c:pt>
                <c:pt idx="95">
                  <c:v>106.40225209186534</c:v>
                </c:pt>
                <c:pt idx="96">
                  <c:v>106.63610961001592</c:v>
                </c:pt>
                <c:pt idx="97">
                  <c:v>106.86796410555657</c:v>
                </c:pt>
                <c:pt idx="98">
                  <c:v>107.09750508474943</c:v>
                </c:pt>
                <c:pt idx="99">
                  <c:v>107.32441492410187</c:v>
                </c:pt>
                <c:pt idx="100">
                  <c:v>107.54836958075744</c:v>
                </c:pt>
                <c:pt idx="101">
                  <c:v>107.76903937007803</c:v>
                </c:pt>
                <c:pt idx="102">
                  <c:v>107.98608980904352</c:v>
                </c:pt>
                <c:pt idx="103">
                  <c:v>108.19918252343403</c:v>
                </c:pt>
                <c:pt idx="104">
                  <c:v>108.4079762160997</c:v>
                </c:pt>
                <c:pt idx="105">
                  <c:v>108.61212769293185</c:v>
                </c:pt>
                <c:pt idx="106">
                  <c:v>108.8112929424872</c:v>
                </c:pt>
                <c:pt idx="107">
                  <c:v>109.00512826453352</c:v>
                </c:pt>
                <c:pt idx="108">
                  <c:v>109.19329144214734</c:v>
                </c:pt>
                <c:pt idx="109">
                  <c:v>109.37544295136323</c:v>
                </c:pt>
                <c:pt idx="110">
                  <c:v>109.55124720180275</c:v>
                </c:pt>
                <c:pt idx="111">
                  <c:v>109.72037380116409</c:v>
                </c:pt>
                <c:pt idx="112">
                  <c:v>109.88249883599273</c:v>
                </c:pt>
                <c:pt idx="113">
                  <c:v>110.03730616071333</c:v>
                </c:pt>
                <c:pt idx="114">
                  <c:v>110.18448868659263</c:v>
                </c:pt>
                <c:pt idx="115">
                  <c:v>110.323749662007</c:v>
                </c:pt>
                <c:pt idx="116">
                  <c:v>110.45480393523545</c:v>
                </c:pt>
                <c:pt idx="117">
                  <c:v>110.57737919088925</c:v>
                </c:pt>
                <c:pt idx="118">
                  <c:v>110.69121715108213</c:v>
                </c:pt>
                <c:pt idx="119">
                  <c:v>110.79607473255682</c:v>
                </c:pt>
                <c:pt idx="120">
                  <c:v>110.89172515113408</c:v>
                </c:pt>
                <c:pt idx="121">
                  <c:v>110.97795896514704</c:v>
                </c:pt>
                <c:pt idx="122">
                  <c:v>111.05458504986518</c:v>
                </c:pt>
                <c:pt idx="123">
                  <c:v>111.12143149537091</c:v>
                </c:pt>
                <c:pt idx="124">
                  <c:v>111.17834642086346</c:v>
                </c:pt>
                <c:pt idx="125">
                  <c:v>111.22519869898154</c:v>
                </c:pt>
                <c:pt idx="126">
                  <c:v>111.26187858438668</c:v>
                </c:pt>
                <c:pt idx="127">
                  <c:v>111.28829824159394</c:v>
                </c:pt>
                <c:pt idx="128">
                  <c:v>111.30439216780945</c:v>
                </c:pt>
                <c:pt idx="129">
                  <c:v>111.31011750737453</c:v>
                </c:pt>
                <c:pt idx="130">
                  <c:v>111.30545425526368</c:v>
                </c:pt>
                <c:pt idx="131">
                  <c:v>111.29040534799434</c:v>
                </c:pt>
                <c:pt idx="132">
                  <c:v>111.26499664119949</c:v>
                </c:pt>
                <c:pt idx="133">
                  <c:v>111.22927677403889</c:v>
                </c:pt>
                <c:pt idx="134">
                  <c:v>111.18331692154101</c:v>
                </c:pt>
                <c:pt idx="135">
                  <c:v>111.12721043686052</c:v>
                </c:pt>
                <c:pt idx="136">
                  <c:v>111.06107238633588</c:v>
                </c:pt>
                <c:pt idx="137">
                  <c:v>110.98503898106425</c:v>
                </c:pt>
                <c:pt idx="138">
                  <c:v>110.89926690953918</c:v>
                </c:pt>
                <c:pt idx="139">
                  <c:v>110.80393257664612</c:v>
                </c:pt>
                <c:pt idx="140">
                  <c:v>110.69923125503695</c:v>
                </c:pt>
                <c:pt idx="141">
                  <c:v>110.58537615552395</c:v>
                </c:pt>
                <c:pt idx="142">
                  <c:v>110.46259742373024</c:v>
                </c:pt>
                <c:pt idx="143">
                  <c:v>110.33114107070965</c:v>
                </c:pt>
                <c:pt idx="144">
                  <c:v>110.19126784567453</c:v>
                </c:pt>
                <c:pt idx="145">
                  <c:v>110.04325205928959</c:v>
                </c:pt>
                <c:pt idx="146">
                  <c:v>109.88738036622954</c:v>
                </c:pt>
                <c:pt idx="147">
                  <c:v>109.7239505158435</c:v>
                </c:pt>
                <c:pt idx="148">
                  <c:v>109.5532700798169</c:v>
                </c:pt>
                <c:pt idx="149">
                  <c:v>109.37565516570102</c:v>
                </c:pt>
                <c:pt idx="150">
                  <c:v>109.19142912502386</c:v>
                </c:pt>
                <c:pt idx="151">
                  <c:v>109.00092126451658</c:v>
                </c:pt>
                <c:pt idx="152">
                  <c:v>108.80446556866711</c:v>
                </c:pt>
                <c:pt idx="153">
                  <c:v>108.60239944146082</c:v>
                </c:pt>
                <c:pt idx="154">
                  <c:v>108.39506247471749</c:v>
                </c:pt>
                <c:pt idx="155">
                  <c:v>108.18279524993758</c:v>
                </c:pt>
                <c:pt idx="156">
                  <c:v>107.96593818001848</c:v>
                </c:pt>
                <c:pt idx="157">
                  <c:v>107.74483039659691</c:v>
                </c:pt>
                <c:pt idx="158">
                  <c:v>107.51980868815033</c:v>
                </c:pt>
                <c:pt idx="159">
                  <c:v>107.29120649332015</c:v>
                </c:pt>
                <c:pt idx="160">
                  <c:v>107.05935295325818</c:v>
                </c:pt>
                <c:pt idx="161">
                  <c:v>106.82457202611069</c:v>
                </c:pt>
                <c:pt idx="162">
                  <c:v>106.58718166608352</c:v>
                </c:pt>
                <c:pt idx="163">
                  <c:v>106.34749306885692</c:v>
                </c:pt>
                <c:pt idx="164">
                  <c:v>106.10580998449171</c:v>
                </c:pt>
                <c:pt idx="165">
                  <c:v>105.86242809833038</c:v>
                </c:pt>
                <c:pt idx="166">
                  <c:v>105.61763447982548</c:v>
                </c:pt>
                <c:pt idx="167">
                  <c:v>105.37170709867773</c:v>
                </c:pt>
                <c:pt idx="168">
                  <c:v>105.12491440715897</c:v>
                </c:pt>
                <c:pt idx="169">
                  <c:v>104.87751498704138</c:v>
                </c:pt>
                <c:pt idx="170">
                  <c:v>104.62975725914775</c:v>
                </c:pt>
                <c:pt idx="171">
                  <c:v>104.38187925317193</c:v>
                </c:pt>
                <c:pt idx="172">
                  <c:v>104.13410843512183</c:v>
                </c:pt>
                <c:pt idx="173">
                  <c:v>103.88666158946909</c:v>
                </c:pt>
                <c:pt idx="174">
                  <c:v>103.63974475289085</c:v>
                </c:pt>
                <c:pt idx="175">
                  <c:v>103.39355319632286</c:v>
                </c:pt>
                <c:pt idx="176">
                  <c:v>103.14827145193557</c:v>
                </c:pt>
                <c:pt idx="177">
                  <c:v>102.90407338156645</c:v>
                </c:pt>
                <c:pt idx="178">
                  <c:v>102.66112228311597</c:v>
                </c:pt>
                <c:pt idx="179">
                  <c:v>102.4195710314136</c:v>
                </c:pt>
                <c:pt idx="180">
                  <c:v>102.17956225010484</c:v>
                </c:pt>
                <c:pt idx="181">
                  <c:v>101.94122851116778</c:v>
                </c:pt>
                <c:pt idx="182">
                  <c:v>101.70469255876786</c:v>
                </c:pt>
                <c:pt idx="183">
                  <c:v>101.47006755426516</c:v>
                </c:pt>
                <c:pt idx="184">
                  <c:v>101.23745733932707</c:v>
                </c:pt>
                <c:pt idx="185">
                  <c:v>101.00695671423809</c:v>
                </c:pt>
                <c:pt idx="186">
                  <c:v>100.77865172866318</c:v>
                </c:pt>
                <c:pt idx="187">
                  <c:v>100.55261998227952</c:v>
                </c:pt>
                <c:pt idx="188">
                  <c:v>100.32893093287117</c:v>
                </c:pt>
                <c:pt idx="189">
                  <c:v>100.10764620964683</c:v>
                </c:pt>
                <c:pt idx="190">
                  <c:v>99.888819929725813</c:v>
                </c:pt>
                <c:pt idx="191">
                  <c:v>99.672499015903853</c:v>
                </c:pt>
                <c:pt idx="192">
                  <c:v>99.458723513986556</c:v>
                </c:pt>
                <c:pt idx="193">
                  <c:v>99.247526908146327</c:v>
                </c:pt>
                <c:pt idx="194">
                  <c:v>99.038936432915847</c:v>
                </c:pt>
                <c:pt idx="195">
                  <c:v>98.832973380591923</c:v>
                </c:pt>
                <c:pt idx="196">
                  <c:v>98.62965340297049</c:v>
                </c:pt>
                <c:pt idx="197">
                  <c:v>98.428986806469652</c:v>
                </c:pt>
                <c:pt idx="198">
                  <c:v>98.230978839837476</c:v>
                </c:pt>
                <c:pt idx="199">
                  <c:v>98.035629973755974</c:v>
                </c:pt>
                <c:pt idx="200">
                  <c:v>97.842936171777396</c:v>
                </c:pt>
                <c:pt idx="201">
                  <c:v>97.652889152126363</c:v>
                </c:pt>
                <c:pt idx="202">
                  <c:v>97.465476640003814</c:v>
                </c:pt>
                <c:pt idx="203">
                  <c:v>97.280682610118362</c:v>
                </c:pt>
                <c:pt idx="204">
                  <c:v>97.098487519251563</c:v>
                </c:pt>
                <c:pt idx="205">
                  <c:v>96.918868528734123</c:v>
                </c:pt>
                <c:pt idx="206">
                  <c:v>96.741799716781046</c:v>
                </c:pt>
                <c:pt idx="207">
                  <c:v>96.567252280691079</c:v>
                </c:pt>
                <c:pt idx="208">
                  <c:v>96.39519472896626</c:v>
                </c:pt>
                <c:pt idx="209">
                  <c:v>96.225593063458092</c:v>
                </c:pt>
                <c:pt idx="210">
                  <c:v>96.058410951683285</c:v>
                </c:pt>
                <c:pt idx="211">
                  <c:v>95.89360988949079</c:v>
                </c:pt>
                <c:pt idx="212">
                  <c:v>95.731149354293223</c:v>
                </c:pt>
                <c:pt idx="213">
                  <c:v>95.570986949096252</c:v>
                </c:pt>
                <c:pt idx="214">
                  <c:v>95.413078537590351</c:v>
                </c:pt>
                <c:pt idx="215">
                  <c:v>95.257378370581321</c:v>
                </c:pt>
                <c:pt idx="216">
                  <c:v>95.103839204056712</c:v>
                </c:pt>
                <c:pt idx="217">
                  <c:v>94.952412409192277</c:v>
                </c:pt>
                <c:pt idx="218">
                  <c:v>94.803048074620563</c:v>
                </c:pt>
                <c:pt idx="219">
                  <c:v>94.655695101283015</c:v>
                </c:pt>
                <c:pt idx="220">
                  <c:v>94.510301290202307</c:v>
                </c:pt>
                <c:pt idx="221">
                  <c:v>94.366813423507267</c:v>
                </c:pt>
                <c:pt idx="222">
                  <c:v>94.225177339053673</c:v>
                </c:pt>
                <c:pt idx="223">
                  <c:v>94.08533799898116</c:v>
                </c:pt>
                <c:pt idx="224">
                  <c:v>93.947239552545781</c:v>
                </c:pt>
                <c:pt idx="225">
                  <c:v>93.81082539357655</c:v>
                </c:pt>
                <c:pt idx="226">
                  <c:v>93.676038212890688</c:v>
                </c:pt>
                <c:pt idx="227">
                  <c:v>93.542820046009339</c:v>
                </c:pt>
                <c:pt idx="228">
                  <c:v>93.411112316513652</c:v>
                </c:pt>
                <c:pt idx="229">
                  <c:v>93.280855875368189</c:v>
                </c:pt>
                <c:pt idx="230">
                  <c:v>93.151991036549489</c:v>
                </c:pt>
                <c:pt idx="231">
                  <c:v>93.024457609299219</c:v>
                </c:pt>
                <c:pt idx="232">
                  <c:v>92.898194927327395</c:v>
                </c:pt>
                <c:pt idx="233">
                  <c:v>92.773141875276764</c:v>
                </c:pt>
                <c:pt idx="234">
                  <c:v>92.649236912761168</c:v>
                </c:pt>
                <c:pt idx="235">
                  <c:v>92.52641809627498</c:v>
                </c:pt>
                <c:pt idx="236">
                  <c:v>92.404623099270225</c:v>
                </c:pt>
                <c:pt idx="237">
                  <c:v>92.283789230679133</c:v>
                </c:pt>
                <c:pt idx="238">
                  <c:v>92.163853452162599</c:v>
                </c:pt>
                <c:pt idx="239">
                  <c:v>92.044752394336825</c:v>
                </c:pt>
                <c:pt idx="240">
                  <c:v>91.926422372230618</c:v>
                </c:pt>
                <c:pt idx="241">
                  <c:v>91.808799400201252</c:v>
                </c:pt>
                <c:pt idx="242">
                  <c:v>91.691819206528137</c:v>
                </c:pt>
                <c:pt idx="243">
                  <c:v>91.575417247875876</c:v>
                </c:pt>
                <c:pt idx="244">
                  <c:v>91.459528723805477</c:v>
                </c:pt>
                <c:pt idx="245">
                  <c:v>91.344088591488486</c:v>
                </c:pt>
                <c:pt idx="246">
                  <c:v>91.229031580751823</c:v>
                </c:pt>
                <c:pt idx="247">
                  <c:v>91.114292209557945</c:v>
                </c:pt>
                <c:pt idx="248">
                  <c:v>90.99980479999995</c:v>
                </c:pt>
                <c:pt idx="249">
                  <c:v>90.885503494858128</c:v>
                </c:pt>
                <c:pt idx="250">
                  <c:v>90.771322274734061</c:v>
                </c:pt>
                <c:pt idx="251">
                  <c:v>90.657194975757378</c:v>
                </c:pt>
                <c:pt idx="252">
                  <c:v>90.543055307813177</c:v>
                </c:pt>
                <c:pt idx="253">
                  <c:v>90.428836873220192</c:v>
                </c:pt>
                <c:pt idx="254">
                  <c:v>90.314473185751552</c:v>
                </c:pt>
                <c:pt idx="255">
                  <c:v>90.199897689860123</c:v>
                </c:pt>
                <c:pt idx="256">
                  <c:v>90.085043779943547</c:v>
                </c:pt>
                <c:pt idx="257">
                  <c:v>89.969844819451723</c:v>
                </c:pt>
                <c:pt idx="258">
                  <c:v>89.854234159622195</c:v>
                </c:pt>
                <c:pt idx="259">
                  <c:v>89.73814515759544</c:v>
                </c:pt>
                <c:pt idx="260">
                  <c:v>89.621511193655479</c:v>
                </c:pt>
                <c:pt idx="261">
                  <c:v>89.504265687318735</c:v>
                </c:pt>
                <c:pt idx="262">
                  <c:v>89.386342111979587</c:v>
                </c:pt>
                <c:pt idx="263">
                  <c:v>89.267674007836959</c:v>
                </c:pt>
                <c:pt idx="264">
                  <c:v>89.148194992791886</c:v>
                </c:pt>
                <c:pt idx="265">
                  <c:v>89.02783877104531</c:v>
                </c:pt>
                <c:pt idx="266">
                  <c:v>88.906539139113448</c:v>
                </c:pt>
                <c:pt idx="267">
                  <c:v>88.784229989005539</c:v>
                </c:pt>
                <c:pt idx="268">
                  <c:v>88.660845308322919</c:v>
                </c:pt>
                <c:pt idx="269">
                  <c:v>88.536319177073864</c:v>
                </c:pt>
                <c:pt idx="270">
                  <c:v>88.410585761023071</c:v>
                </c:pt>
                <c:pt idx="271">
                  <c:v>88.283579301431573</c:v>
                </c:pt>
                <c:pt idx="272">
                  <c:v>88.155234101087828</c:v>
                </c:pt>
                <c:pt idx="273">
                  <c:v>88.025484506563146</c:v>
                </c:pt>
                <c:pt idx="274">
                  <c:v>87.894264886680631</c:v>
                </c:pt>
                <c:pt idx="275">
                  <c:v>87.761509607223573</c:v>
                </c:pt>
                <c:pt idx="276">
                  <c:v>87.627153001958433</c:v>
                </c:pt>
                <c:pt idx="277">
                  <c:v>87.491129340099562</c:v>
                </c:pt>
                <c:pt idx="278">
                  <c:v>87.353372790372632</c:v>
                </c:pt>
                <c:pt idx="279">
                  <c:v>87.213817381898735</c:v>
                </c:pt>
                <c:pt idx="280">
                  <c:v>87.072396962134007</c:v>
                </c:pt>
                <c:pt idx="281">
                  <c:v>86.929045152163511</c:v>
                </c:pt>
                <c:pt idx="282">
                  <c:v>86.78369529965984</c:v>
                </c:pt>
                <c:pt idx="283">
                  <c:v>86.636280429855461</c:v>
                </c:pt>
                <c:pt idx="284">
                  <c:v>86.486733194897766</c:v>
                </c:pt>
                <c:pt idx="285">
                  <c:v>86.334985821977142</c:v>
                </c:pt>
                <c:pt idx="286">
                  <c:v>86.180970060626549</c:v>
                </c:pt>
                <c:pt idx="287">
                  <c:v>86.024617129604323</c:v>
                </c:pt>
                <c:pt idx="288">
                  <c:v>85.865857663777078</c:v>
                </c:pt>
                <c:pt idx="289">
                  <c:v>85.704621661407046</c:v>
                </c:pt>
                <c:pt idx="290">
                  <c:v>85.540838432261651</c:v>
                </c:pt>
                <c:pt idx="291">
                  <c:v>85.374436546938085</c:v>
                </c:pt>
                <c:pt idx="292">
                  <c:v>85.205343787792515</c:v>
                </c:pt>
                <c:pt idx="293">
                  <c:v>85.033487101845083</c:v>
                </c:pt>
                <c:pt idx="294">
                  <c:v>84.858792556019992</c:v>
                </c:pt>
                <c:pt idx="295">
                  <c:v>84.681185295052856</c:v>
                </c:pt>
                <c:pt idx="296">
                  <c:v>84.500589502390639</c:v>
                </c:pt>
                <c:pt idx="297">
                  <c:v>84.316928364379578</c:v>
                </c:pt>
                <c:pt idx="298">
                  <c:v>84.130124038020369</c:v>
                </c:pt>
                <c:pt idx="299">
                  <c:v>83.940097622554035</c:v>
                </c:pt>
                <c:pt idx="300">
                  <c:v>83.746769135122435</c:v>
                </c:pt>
                <c:pt idx="301">
                  <c:v>83.550057490727923</c:v>
                </c:pt>
                <c:pt idx="302">
                  <c:v>83.349880486706226</c:v>
                </c:pt>
                <c:pt idx="303">
                  <c:v>83.14615479191265</c:v>
                </c:pt>
                <c:pt idx="304">
                  <c:v>82.938795940812597</c:v>
                </c:pt>
                <c:pt idx="305">
                  <c:v>82.727718332652813</c:v>
                </c:pt>
                <c:pt idx="306">
                  <c:v>82.512835235895821</c:v>
                </c:pt>
                <c:pt idx="307">
                  <c:v>82.294058798081437</c:v>
                </c:pt>
                <c:pt idx="308">
                  <c:v>82.071300061292959</c:v>
                </c:pt>
                <c:pt idx="309">
                  <c:v>81.844468983395572</c:v>
                </c:pt>
                <c:pt idx="310">
                  <c:v>81.613474465220406</c:v>
                </c:pt>
                <c:pt idx="311">
                  <c:v>81.378224383878404</c:v>
                </c:pt>
                <c:pt idx="312">
                  <c:v>81.138625632384816</c:v>
                </c:pt>
                <c:pt idx="313">
                  <c:v>80.894584165791287</c:v>
                </c:pt>
                <c:pt idx="314">
                  <c:v>80.646005054029729</c:v>
                </c:pt>
                <c:pt idx="315">
                  <c:v>80.392792541679043</c:v>
                </c:pt>
                <c:pt idx="316">
                  <c:v>80.134850114883818</c:v>
                </c:pt>
                <c:pt idx="317">
                  <c:v>79.872080575657421</c:v>
                </c:pt>
                <c:pt idx="318">
                  <c:v>79.604386123822152</c:v>
                </c:pt>
                <c:pt idx="319">
                  <c:v>79.331668446842073</c:v>
                </c:pt>
                <c:pt idx="320">
                  <c:v>79.053828817822279</c:v>
                </c:pt>
                <c:pt idx="321">
                  <c:v>78.770768201953771</c:v>
                </c:pt>
                <c:pt idx="322">
                  <c:v>78.482387371693662</c:v>
                </c:pt>
                <c:pt idx="323">
                  <c:v>78.188587030976478</c:v>
                </c:pt>
                <c:pt idx="324">
                  <c:v>77.889267948758985</c:v>
                </c:pt>
                <c:pt idx="325">
                  <c:v>77.584331102203436</c:v>
                </c:pt>
                <c:pt idx="326">
                  <c:v>77.273677829803361</c:v>
                </c:pt>
                <c:pt idx="327">
                  <c:v>76.957209994750642</c:v>
                </c:pt>
                <c:pt idx="328">
                  <c:v>76.634830158845205</c:v>
                </c:pt>
                <c:pt idx="329">
                  <c:v>76.306441767223433</c:v>
                </c:pt>
                <c:pt idx="330">
                  <c:v>75.971949344180913</c:v>
                </c:pt>
                <c:pt idx="331">
                  <c:v>75.631258700334968</c:v>
                </c:pt>
                <c:pt idx="332">
                  <c:v>75.284277151351432</c:v>
                </c:pt>
                <c:pt idx="333">
                  <c:v>74.930913748430612</c:v>
                </c:pt>
                <c:pt idx="334">
                  <c:v>74.571079520703719</c:v>
                </c:pt>
                <c:pt idx="335">
                  <c:v>74.204687729655916</c:v>
                </c:pt>
                <c:pt idx="336">
                  <c:v>73.831654135636057</c:v>
                </c:pt>
                <c:pt idx="337">
                  <c:v>73.45189727645139</c:v>
                </c:pt>
                <c:pt idx="338">
                  <c:v>73.065338757990773</c:v>
                </c:pt>
                <c:pt idx="339">
                  <c:v>72.671903556730229</c:v>
                </c:pt>
                <c:pt idx="340">
                  <c:v>72.27152033390891</c:v>
                </c:pt>
                <c:pt idx="341">
                  <c:v>71.864121761052758</c:v>
                </c:pt>
                <c:pt idx="342">
                  <c:v>71.449644856445033</c:v>
                </c:pt>
                <c:pt idx="343">
                  <c:v>71.028031332010343</c:v>
                </c:pt>
                <c:pt idx="344">
                  <c:v>70.599227949982719</c:v>
                </c:pt>
                <c:pt idx="345">
                  <c:v>70.163186888586083</c:v>
                </c:pt>
                <c:pt idx="346">
                  <c:v>69.7198661158248</c:v>
                </c:pt>
                <c:pt idx="347">
                  <c:v>69.269229770350279</c:v>
                </c:pt>
                <c:pt idx="348">
                  <c:v>68.811248548200155</c:v>
                </c:pt>
                <c:pt idx="349">
                  <c:v>68.345900094067304</c:v>
                </c:pt>
                <c:pt idx="350">
                  <c:v>67.873169395589599</c:v>
                </c:pt>
                <c:pt idx="351">
                  <c:v>67.39304917898319</c:v>
                </c:pt>
                <c:pt idx="352">
                  <c:v>66.905540304179937</c:v>
                </c:pt>
                <c:pt idx="353">
                  <c:v>66.410652157458955</c:v>
                </c:pt>
                <c:pt idx="354">
                  <c:v>65.908403039394571</c:v>
                </c:pt>
                <c:pt idx="355">
                  <c:v>65.39882054578915</c:v>
                </c:pt>
                <c:pt idx="356">
                  <c:v>64.881941939084626</c:v>
                </c:pt>
                <c:pt idx="357">
                  <c:v>64.357814507620375</c:v>
                </c:pt>
                <c:pt idx="358">
                  <c:v>63.826495909955973</c:v>
                </c:pt>
                <c:pt idx="359">
                  <c:v>63.288054501357017</c:v>
                </c:pt>
                <c:pt idx="360">
                  <c:v>62.742569639445769</c:v>
                </c:pt>
                <c:pt idx="361">
                  <c:v>62.190131965934441</c:v>
                </c:pt>
                <c:pt idx="362">
                  <c:v>61.630843661293078</c:v>
                </c:pt>
                <c:pt idx="363">
                  <c:v>61.064818669200868</c:v>
                </c:pt>
                <c:pt idx="364">
                  <c:v>60.49218288759446</c:v>
                </c:pt>
                <c:pt idx="365">
                  <c:v>59.913074323206295</c:v>
                </c:pt>
                <c:pt idx="366">
                  <c:v>59.327643206522097</c:v>
                </c:pt>
                <c:pt idx="367">
                  <c:v>58.736052064230826</c:v>
                </c:pt>
                <c:pt idx="368">
                  <c:v>58.138475746371768</c:v>
                </c:pt>
                <c:pt idx="369">
                  <c:v>57.535101405594801</c:v>
                </c:pt>
                <c:pt idx="370">
                  <c:v>56.926128426189905</c:v>
                </c:pt>
                <c:pt idx="371">
                  <c:v>56.31176830081646</c:v>
                </c:pt>
                <c:pt idx="372">
                  <c:v>55.692244453199436</c:v>
                </c:pt>
                <c:pt idx="373">
                  <c:v>55.067792005423392</c:v>
                </c:pt>
                <c:pt idx="374">
                  <c:v>54.438657488860912</c:v>
                </c:pt>
                <c:pt idx="375">
                  <c:v>53.805098498211699</c:v>
                </c:pt>
                <c:pt idx="376">
                  <c:v>53.16738328860383</c:v>
                </c:pt>
                <c:pt idx="377">
                  <c:v>52.525790316197906</c:v>
                </c:pt>
                <c:pt idx="378">
                  <c:v>51.880607723263019</c:v>
                </c:pt>
                <c:pt idx="379">
                  <c:v>51.232132769205442</c:v>
                </c:pt>
                <c:pt idx="380">
                  <c:v>50.580671209579997</c:v>
                </c:pt>
                <c:pt idx="381">
                  <c:v>49.926536625633602</c:v>
                </c:pt>
                <c:pt idx="382">
                  <c:v>49.270049707457659</c:v>
                </c:pt>
                <c:pt idx="383">
                  <c:v>48.611537494317339</c:v>
                </c:pt>
                <c:pt idx="384">
                  <c:v>47.951332576209957</c:v>
                </c:pt>
                <c:pt idx="385">
                  <c:v>47.28977226112594</c:v>
                </c:pt>
                <c:pt idx="386">
                  <c:v>46.627197712892148</c:v>
                </c:pt>
                <c:pt idx="387">
                  <c:v>45.9639530648085</c:v>
                </c:pt>
                <c:pt idx="388">
                  <c:v>45.300384514577914</c:v>
                </c:pt>
                <c:pt idx="389">
                  <c:v>44.63683940624658</c:v>
                </c:pt>
                <c:pt idx="390">
                  <c:v>43.973665305037834</c:v>
                </c:pt>
                <c:pt idx="391">
                  <c:v>43.311209071028806</c:v>
                </c:pt>
                <c:pt idx="392">
                  <c:v>42.649815937649272</c:v>
                </c:pt>
                <c:pt idx="393">
                  <c:v>41.989828600921832</c:v>
                </c:pt>
                <c:pt idx="394">
                  <c:v>41.331586325220833</c:v>
                </c:pt>
                <c:pt idx="395">
                  <c:v>40.675424071152236</c:v>
                </c:pt>
                <c:pt idx="396">
                  <c:v>40.021671650874843</c:v>
                </c:pt>
                <c:pt idx="397">
                  <c:v>39.370652915883831</c:v>
                </c:pt>
                <c:pt idx="398">
                  <c:v>38.722684981879823</c:v>
                </c:pt>
                <c:pt idx="399">
                  <c:v>38.07807749495413</c:v>
                </c:pt>
                <c:pt idx="400">
                  <c:v>37.437131942834732</c:v>
                </c:pt>
                <c:pt idx="401">
                  <c:v>36.80014101447118</c:v>
                </c:pt>
                <c:pt idx="402">
                  <c:v>36.16738801070111</c:v>
                </c:pt>
                <c:pt idx="403">
                  <c:v>35.539146308233228</c:v>
                </c:pt>
                <c:pt idx="404">
                  <c:v>34.915678878635283</c:v>
                </c:pt>
                <c:pt idx="405">
                  <c:v>34.297237863487787</c:v>
                </c:pt>
                <c:pt idx="406">
                  <c:v>33.684064206344907</c:v>
                </c:pt>
                <c:pt idx="407">
                  <c:v>33.076387341636512</c:v>
                </c:pt>
                <c:pt idx="408">
                  <c:v>32.474424940162898</c:v>
                </c:pt>
                <c:pt idx="409">
                  <c:v>31.87838271038175</c:v>
                </c:pt>
                <c:pt idx="410">
                  <c:v>31.288454254267961</c:v>
                </c:pt>
                <c:pt idx="411">
                  <c:v>30.704820976141544</c:v>
                </c:pt>
                <c:pt idx="412">
                  <c:v>30.127652042517255</c:v>
                </c:pt>
                <c:pt idx="413">
                  <c:v>29.557104390728195</c:v>
                </c:pt>
                <c:pt idx="414">
                  <c:v>28.993322783822673</c:v>
                </c:pt>
                <c:pt idx="415">
                  <c:v>28.436439909006435</c:v>
                </c:pt>
                <c:pt idx="416">
                  <c:v>27.886576516750729</c:v>
                </c:pt>
                <c:pt idx="417">
                  <c:v>27.34384159753559</c:v>
                </c:pt>
                <c:pt idx="418">
                  <c:v>26.808332593128174</c:v>
                </c:pt>
                <c:pt idx="419">
                  <c:v>26.280135639229474</c:v>
                </c:pt>
                <c:pt idx="420">
                  <c:v>25.759325836315153</c:v>
                </c:pt>
                <c:pt idx="421">
                  <c:v>25.245967545510229</c:v>
                </c:pt>
                <c:pt idx="422">
                  <c:v>24.740114706385143</c:v>
                </c:pt>
                <c:pt idx="423">
                  <c:v>24.241811173628463</c:v>
                </c:pt>
                <c:pt idx="424">
                  <c:v>23.751091069650045</c:v>
                </c:pt>
                <c:pt idx="425">
                  <c:v>23.267979150283573</c:v>
                </c:pt>
                <c:pt idx="426">
                  <c:v>22.792491180881502</c:v>
                </c:pt>
                <c:pt idx="427">
                  <c:v>22.324634320245902</c:v>
                </c:pt>
                <c:pt idx="428">
                  <c:v>21.864407509990524</c:v>
                </c:pt>
                <c:pt idx="429">
                  <c:v>21.411801867082879</c:v>
                </c:pt>
                <c:pt idx="430">
                  <c:v>20.966801077494107</c:v>
                </c:pt>
                <c:pt idx="431">
                  <c:v>20.529381789038279</c:v>
                </c:pt>
                <c:pt idx="432">
                  <c:v>20.099514001660317</c:v>
                </c:pt>
                <c:pt idx="433">
                  <c:v>19.677161453593083</c:v>
                </c:pt>
                <c:pt idx="434">
                  <c:v>19.262282001969403</c:v>
                </c:pt>
                <c:pt idx="435">
                  <c:v>18.854827996634409</c:v>
                </c:pt>
                <c:pt idx="436">
                  <c:v>18.454746646051422</c:v>
                </c:pt>
                <c:pt idx="437">
                  <c:v>18.061980374347907</c:v>
                </c:pt>
                <c:pt idx="438">
                  <c:v>17.676467168681217</c:v>
                </c:pt>
                <c:pt idx="439">
                  <c:v>17.298140916237038</c:v>
                </c:pt>
                <c:pt idx="440">
                  <c:v>16.92693173029712</c:v>
                </c:pt>
                <c:pt idx="441">
                  <c:v>16.562766264921738</c:v>
                </c:pt>
                <c:pt idx="442">
                  <c:v>16.205568017906259</c:v>
                </c:pt>
                <c:pt idx="443">
                  <c:v>15.855257621760497</c:v>
                </c:pt>
                <c:pt idx="444">
                  <c:v>15.511753122549965</c:v>
                </c:pt>
                <c:pt idx="445">
                  <c:v>15.174970246520973</c:v>
                </c:pt>
                <c:pt idx="446">
                  <c:v>14.844822654499152</c:v>
                </c:pt>
                <c:pt idx="447">
                  <c:v>14.521222184120031</c:v>
                </c:pt>
                <c:pt idx="448">
                  <c:v>14.204079080000962</c:v>
                </c:pt>
                <c:pt idx="449">
                  <c:v>13.893302212021473</c:v>
                </c:pt>
                <c:pt idx="450">
                  <c:v>13.588799281914977</c:v>
                </c:pt>
                <c:pt idx="451">
                  <c:v>13.29047701841942</c:v>
                </c:pt>
                <c:pt idx="452">
                  <c:v>12.998241361257762</c:v>
                </c:pt>
                <c:pt idx="453">
                  <c:v>12.711997634255994</c:v>
                </c:pt>
                <c:pt idx="454">
                  <c:v>12.431650707916953</c:v>
                </c:pt>
                <c:pt idx="455">
                  <c:v>12.157105151795305</c:v>
                </c:pt>
                <c:pt idx="456">
                  <c:v>11.888265377026988</c:v>
                </c:pt>
                <c:pt idx="457">
                  <c:v>11.625035769374202</c:v>
                </c:pt>
                <c:pt idx="458">
                  <c:v>11.367320813162925</c:v>
                </c:pt>
                <c:pt idx="459">
                  <c:v>11.115025206480412</c:v>
                </c:pt>
                <c:pt idx="460">
                  <c:v>10.868053968013287</c:v>
                </c:pt>
                <c:pt idx="461">
                  <c:v>10.62631253589797</c:v>
                </c:pt>
                <c:pt idx="462">
                  <c:v>10.389706858954799</c:v>
                </c:pt>
                <c:pt idx="463">
                  <c:v>10.158143480673212</c:v>
                </c:pt>
                <c:pt idx="464">
                  <c:v>9.9315296163068769</c:v>
                </c:pt>
                <c:pt idx="465">
                  <c:v>9.7097732234325616</c:v>
                </c:pt>
                <c:pt idx="466">
                  <c:v>9.4927830663158463</c:v>
                </c:pt>
                <c:pt idx="467">
                  <c:v>9.2804687744196706</c:v>
                </c:pt>
                <c:pt idx="468">
                  <c:v>9.0727408953785496</c:v>
                </c:pt>
                <c:pt idx="469">
                  <c:v>8.869510942755614</c:v>
                </c:pt>
                <c:pt idx="470">
                  <c:v>8.6706914388827325</c:v>
                </c:pt>
                <c:pt idx="471">
                  <c:v>8.4761959530773829</c:v>
                </c:pt>
                <c:pt idx="472">
                  <c:v>8.2859391355172782</c:v>
                </c:pt>
                <c:pt idx="473">
                  <c:v>8.099836747040607</c:v>
                </c:pt>
                <c:pt idx="474">
                  <c:v>7.9178056851303014</c:v>
                </c:pt>
                <c:pt idx="475">
                  <c:v>7.7397640063288407</c:v>
                </c:pt>
                <c:pt idx="476">
                  <c:v>7.5656309453176966</c:v>
                </c:pt>
                <c:pt idx="477">
                  <c:v>7.3953269308857799</c:v>
                </c:pt>
                <c:pt idx="478">
                  <c:v>7.2287735989998509</c:v>
                </c:pt>
                <c:pt idx="479">
                  <c:v>7.0658938031787217</c:v>
                </c:pt>
                <c:pt idx="480">
                  <c:v>6.9066116223629779</c:v>
                </c:pt>
                <c:pt idx="481">
                  <c:v>6.7508523664624986</c:v>
                </c:pt>
                <c:pt idx="482">
                  <c:v>6.5985425797531168</c:v>
                </c:pt>
                <c:pt idx="483">
                  <c:v>6.4496100422854195</c:v>
                </c:pt>
                <c:pt idx="484">
                  <c:v>6.3039837694589513</c:v>
                </c:pt>
                <c:pt idx="485">
                  <c:v>6.161594009906139</c:v>
                </c:pt>
                <c:pt idx="486">
                  <c:v>6.0223722418233185</c:v>
                </c:pt>
                <c:pt idx="487">
                  <c:v>5.8862511678752849</c:v>
                </c:pt>
                <c:pt idx="488">
                  <c:v>5.7531647087963993</c:v>
                </c:pt>
                <c:pt idx="489">
                  <c:v>5.6230479957991006</c:v>
                </c:pt>
                <c:pt idx="490">
                  <c:v>5.4958373618981424</c:v>
                </c:pt>
                <c:pt idx="491">
                  <c:v>5.3714703322485375</c:v>
                </c:pt>
                <c:pt idx="492">
                  <c:v>5.2498856135916281</c:v>
                </c:pt>
                <c:pt idx="493">
                  <c:v>5.1310230828958456</c:v>
                </c:pt>
                <c:pt idx="494">
                  <c:v>5.0148237752743885</c:v>
                </c:pt>
                <c:pt idx="495">
                  <c:v>4.9012298712554916</c:v>
                </c:pt>
                <c:pt idx="496">
                  <c:v>4.7901846834763306</c:v>
                </c:pt>
                <c:pt idx="497">
                  <c:v>4.68163264286735</c:v>
                </c:pt>
                <c:pt idx="498">
                  <c:v>4.5755192843881449</c:v>
                </c:pt>
                <c:pt idx="499">
                  <c:v>4.4717912323726159</c:v>
                </c:pt>
                <c:pt idx="500">
                  <c:v>4.3703961855362072</c:v>
                </c:pt>
                <c:pt idx="501">
                  <c:v>4.2712829016957796</c:v>
                </c:pt>
                <c:pt idx="502">
                  <c:v>4.1744011822463882</c:v>
                </c:pt>
                <c:pt idx="503">
                  <c:v>4.0797018564392546</c:v>
                </c:pt>
                <c:pt idx="504">
                  <c:v>3.9871367654988243</c:v>
                </c:pt>
                <c:pt idx="505">
                  <c:v>3.8966587466159224</c:v>
                </c:pt>
                <c:pt idx="506">
                  <c:v>3.808221616850537</c:v>
                </c:pt>
                <c:pt idx="507">
                  <c:v>3.7217801569749458</c:v>
                </c:pt>
                <c:pt idx="508">
                  <c:v>3.6372900952854508</c:v>
                </c:pt>
                <c:pt idx="509">
                  <c:v>3.5547080914092173</c:v>
                </c:pt>
                <c:pt idx="510">
                  <c:v>3.4739917201302055</c:v>
                </c:pt>
                <c:pt idx="511">
                  <c:v>3.3950994552556066</c:v>
                </c:pt>
                <c:pt idx="512">
                  <c:v>3.3179906535432058</c:v>
                </c:pt>
                <c:pt idx="513">
                  <c:v>3.2426255387081224</c:v>
                </c:pt>
                <c:pt idx="514">
                  <c:v>3.1689651855251855</c:v>
                </c:pt>
                <c:pt idx="515">
                  <c:v>3.0969715040423358</c:v>
                </c:pt>
                <c:pt idx="516">
                  <c:v>3.0266072239184605</c:v>
                </c:pt>
                <c:pt idx="517">
                  <c:v>2.9578358788982855</c:v>
                </c:pt>
                <c:pt idx="518">
                  <c:v>2.8906217914353416</c:v>
                </c:pt>
                <c:pt idx="519">
                  <c:v>2.8249300574727028</c:v>
                </c:pt>
                <c:pt idx="520">
                  <c:v>2.7607265313908744</c:v>
                </c:pt>
                <c:pt idx="521">
                  <c:v>2.6979778111299519</c:v>
                </c:pt>
                <c:pt idx="522">
                  <c:v>2.636651223493923</c:v>
                </c:pt>
                <c:pt idx="523">
                  <c:v>2.5767148096425667</c:v>
                </c:pt>
                <c:pt idx="524">
                  <c:v>2.5181373107761456</c:v>
                </c:pt>
                <c:pt idx="525">
                  <c:v>2.4608881540181597</c:v>
                </c:pt>
                <c:pt idx="526">
                  <c:v>2.404937438499382</c:v>
                </c:pt>
                <c:pt idx="527">
                  <c:v>2.3502559216465539</c:v>
                </c:pt>
                <c:pt idx="528">
                  <c:v>2.2968150056789183</c:v>
                </c:pt>
                <c:pt idx="529">
                  <c:v>2.244586724313657</c:v>
                </c:pt>
                <c:pt idx="530">
                  <c:v>2.1935437296833613</c:v>
                </c:pt>
                <c:pt idx="531">
                  <c:v>2.1436592794651839</c:v>
                </c:pt>
                <c:pt idx="532">
                  <c:v>2.0949072242237432</c:v>
                </c:pt>
                <c:pt idx="533">
                  <c:v>2.04726199496718</c:v>
                </c:pt>
                <c:pt idx="534">
                  <c:v>2.0006985909171142</c:v>
                </c:pt>
                <c:pt idx="535">
                  <c:v>1.9551925674918122</c:v>
                </c:pt>
                <c:pt idx="536">
                  <c:v>1.9107200245022176</c:v>
                </c:pt>
                <c:pt idx="537">
                  <c:v>1.8672575945598213</c:v>
                </c:pt>
                <c:pt idx="538">
                  <c:v>1.8247824316954331</c:v>
                </c:pt>
                <c:pt idx="539">
                  <c:v>1.7832722001875299</c:v>
                </c:pt>
                <c:pt idx="540">
                  <c:v>1.7427050635986396</c:v>
                </c:pt>
                <c:pt idx="541">
                  <c:v>1.7030596740180435</c:v>
                </c:pt>
              </c:numCache>
            </c:numRef>
          </c:yVal>
          <c:smooth val="1"/>
          <c:extLst>
            <c:ext xmlns:c16="http://schemas.microsoft.com/office/drawing/2014/chart" uri="{C3380CC4-5D6E-409C-BE32-E72D297353CC}">
              <c16:uniqueId val="{00000001-79CC-43C6-9415-C1FDEEB8D57B}"/>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2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Control_Loop_Tables!$BK$19:$BK$560</c:f>
              <c:numCache>
                <c:formatCode>General</c:formatCode>
                <c:ptCount val="542"/>
                <c:pt idx="0">
                  <c:v>45.789228333658578</c:v>
                </c:pt>
                <c:pt idx="1">
                  <c:v>45.589381423643744</c:v>
                </c:pt>
                <c:pt idx="2">
                  <c:v>45.389541648553262</c:v>
                </c:pt>
                <c:pt idx="3">
                  <c:v>45.189709336996387</c:v>
                </c:pt>
                <c:pt idx="4">
                  <c:v>44.989884832341069</c:v>
                </c:pt>
                <c:pt idx="5">
                  <c:v>44.790068493340847</c:v>
                </c:pt>
                <c:pt idx="6">
                  <c:v>44.590260694784135</c:v>
                </c:pt>
                <c:pt idx="7">
                  <c:v>44.390461828169109</c:v>
                </c:pt>
                <c:pt idx="8">
                  <c:v>44.190672302399825</c:v>
                </c:pt>
                <c:pt idx="9">
                  <c:v>43.990892544508561</c:v>
                </c:pt>
                <c:pt idx="10">
                  <c:v>43.791123000403587</c:v>
                </c:pt>
                <c:pt idx="11">
                  <c:v>43.591364135641051</c:v>
                </c:pt>
                <c:pt idx="12">
                  <c:v>43.391616436222378</c:v>
                </c:pt>
                <c:pt idx="13">
                  <c:v>43.191880409418282</c:v>
                </c:pt>
                <c:pt idx="14">
                  <c:v>42.992156584618122</c:v>
                </c:pt>
                <c:pt idx="15">
                  <c:v>42.792445514205603</c:v>
                </c:pt>
                <c:pt idx="16">
                  <c:v>42.592747774460122</c:v>
                </c:pt>
                <c:pt idx="17">
                  <c:v>42.393063966484199</c:v>
                </c:pt>
                <c:pt idx="18">
                  <c:v>42.193394717156274</c:v>
                </c:pt>
                <c:pt idx="19">
                  <c:v>41.993740680109084</c:v>
                </c:pt>
                <c:pt idx="20">
                  <c:v>41.794102536732076</c:v>
                </c:pt>
                <c:pt idx="21">
                  <c:v>41.594480997198161</c:v>
                </c:pt>
                <c:pt idx="22">
                  <c:v>41.394876801514201</c:v>
                </c:pt>
                <c:pt idx="23">
                  <c:v>41.195290720591736</c:v>
                </c:pt>
                <c:pt idx="24">
                  <c:v>40.995723557339623</c:v>
                </c:pt>
                <c:pt idx="25">
                  <c:v>40.796176147775789</c:v>
                </c:pt>
                <c:pt idx="26">
                  <c:v>40.596649362155439</c:v>
                </c:pt>
                <c:pt idx="27">
                  <c:v>40.397144106114673</c:v>
                </c:pt>
                <c:pt idx="28">
                  <c:v>40.197661321826587</c:v>
                </c:pt>
                <c:pt idx="29">
                  <c:v>39.998201989167313</c:v>
                </c:pt>
                <c:pt idx="30">
                  <c:v>39.798767126888094</c:v>
                </c:pt>
                <c:pt idx="31">
                  <c:v>39.599357793790716</c:v>
                </c:pt>
                <c:pt idx="32">
                  <c:v>39.399975089901048</c:v>
                </c:pt>
                <c:pt idx="33">
                  <c:v>39.200620157637559</c:v>
                </c:pt>
                <c:pt idx="34">
                  <c:v>39.001294182967889</c:v>
                </c:pt>
                <c:pt idx="35">
                  <c:v>38.801998396549365</c:v>
                </c:pt>
                <c:pt idx="36">
                  <c:v>38.602734074846474</c:v>
                </c:pt>
                <c:pt idx="37">
                  <c:v>38.403502541218216</c:v>
                </c:pt>
                <c:pt idx="38">
                  <c:v>38.204305166967572</c:v>
                </c:pt>
                <c:pt idx="39">
                  <c:v>38.005143372346033</c:v>
                </c:pt>
                <c:pt idx="40">
                  <c:v>37.806018627501601</c:v>
                </c:pt>
                <c:pt idx="41">
                  <c:v>37.606932453362539</c:v>
                </c:pt>
                <c:pt idx="42">
                  <c:v>37.407886422445216</c:v>
                </c:pt>
                <c:pt idx="43">
                  <c:v>37.208882159573669</c:v>
                </c:pt>
                <c:pt idx="44">
                  <c:v>37.009921342498949</c:v>
                </c:pt>
                <c:pt idx="45">
                  <c:v>36.811005702404728</c:v>
                </c:pt>
                <c:pt idx="46">
                  <c:v>36.61213702428342</c:v>
                </c:pt>
                <c:pt idx="47">
                  <c:v>36.413317147168293</c:v>
                </c:pt>
                <c:pt idx="48">
                  <c:v>36.214547964204364</c:v>
                </c:pt>
                <c:pt idx="49">
                  <c:v>36.015831422539605</c:v>
                </c:pt>
                <c:pt idx="50">
                  <c:v>35.817169523018528</c:v>
                </c:pt>
                <c:pt idx="51">
                  <c:v>35.618564319657821</c:v>
                </c:pt>
                <c:pt idx="52">
                  <c:v>35.420017918882124</c:v>
                </c:pt>
                <c:pt idx="53">
                  <c:v>35.221532478499654</c:v>
                </c:pt>
                <c:pt idx="54">
                  <c:v>35.023110206392801</c:v>
                </c:pt>
                <c:pt idx="55">
                  <c:v>34.824753358901312</c:v>
                </c:pt>
                <c:pt idx="56">
                  <c:v>34.626464238871691</c:v>
                </c:pt>
                <c:pt idx="57">
                  <c:v>34.42824519334949</c:v>
                </c:pt>
                <c:pt idx="58">
                  <c:v>34.230098610886117</c:v>
                </c:pt>
                <c:pt idx="59">
                  <c:v>34.032026918435726</c:v>
                </c:pt>
                <c:pt idx="60">
                  <c:v>33.834032577814604</c:v>
                </c:pt>
                <c:pt idx="61">
                  <c:v>33.636118081696289</c:v>
                </c:pt>
                <c:pt idx="62">
                  <c:v>33.438285949117194</c:v>
                </c:pt>
                <c:pt idx="63">
                  <c:v>33.240538720465359</c:v>
                </c:pt>
                <c:pt idx="64">
                  <c:v>33.042878951929012</c:v>
                </c:pt>
                <c:pt idx="65">
                  <c:v>32.845309209381142</c:v>
                </c:pt>
                <c:pt idx="66">
                  <c:v>32.647832061677221</c:v>
                </c:pt>
                <c:pt idx="67">
                  <c:v>32.450450073348058</c:v>
                </c:pt>
                <c:pt idx="68">
                  <c:v>32.253165796669485</c:v>
                </c:pt>
                <c:pt idx="69">
                  <c:v>32.055981763096355</c:v>
                </c:pt>
                <c:pt idx="70">
                  <c:v>31.858900474049463</c:v>
                </c:pt>
                <c:pt idx="71">
                  <c:v>31.66192439105178</c:v>
                </c:pt>
                <c:pt idx="72">
                  <c:v>31.465055925211566</c:v>
                </c:pt>
                <c:pt idx="73">
                  <c:v>31.268297426058815</c:v>
                </c:pt>
                <c:pt idx="74">
                  <c:v>31.071651169746659</c:v>
                </c:pt>
                <c:pt idx="75">
                  <c:v>30.875119346635014</c:v>
                </c:pt>
                <c:pt idx="76">
                  <c:v>30.678704048284622</c:v>
                </c:pt>
                <c:pt idx="77">
                  <c:v>30.48240725389477</c:v>
                </c:pt>
                <c:pt idx="78">
                  <c:v>30.286230816228649</c:v>
                </c:pt>
                <c:pt idx="79">
                  <c:v>30.090176447079866</c:v>
                </c:pt>
                <c:pt idx="80">
                  <c:v>29.894245702342491</c:v>
                </c:pt>
                <c:pt idx="81">
                  <c:v>29.69843996675862</c:v>
                </c:pt>
                <c:pt idx="82">
                  <c:v>29.502760438427664</c:v>
                </c:pt>
                <c:pt idx="83">
                  <c:v>29.307208113171367</c:v>
                </c:pt>
                <c:pt idx="84">
                  <c:v>29.111783768860775</c:v>
                </c:pt>
                <c:pt idx="85">
                  <c:v>28.916487949822169</c:v>
                </c:pt>
                <c:pt idx="86">
                  <c:v>28.721320951445954</c:v>
                </c:pt>
                <c:pt idx="87">
                  <c:v>28.526282805137512</c:v>
                </c:pt>
                <c:pt idx="88">
                  <c:v>28.33137326375158</c:v>
                </c:pt>
                <c:pt idx="89">
                  <c:v>28.136591787665203</c:v>
                </c:pt>
                <c:pt idx="90">
                  <c:v>27.941937531645703</c:v>
                </c:pt>
                <c:pt idx="91">
                  <c:v>27.74740933267821</c:v>
                </c:pt>
                <c:pt idx="92">
                  <c:v>27.553005698918458</c:v>
                </c:pt>
                <c:pt idx="93">
                  <c:v>27.358724799938244</c:v>
                </c:pt>
                <c:pt idx="94">
                  <c:v>27.164564458427684</c:v>
                </c:pt>
                <c:pt idx="95">
                  <c:v>26.970522143518156</c:v>
                </c:pt>
                <c:pt idx="96">
                  <c:v>26.776594965878271</c:v>
                </c:pt>
                <c:pt idx="97">
                  <c:v>26.582779674729771</c:v>
                </c:pt>
                <c:pt idx="98">
                  <c:v>26.389072656915829</c:v>
                </c:pt>
                <c:pt idx="99">
                  <c:v>26.195469938140526</c:v>
                </c:pt>
                <c:pt idx="100">
                  <c:v>26.001967186478492</c:v>
                </c:pt>
                <c:pt idx="101">
                  <c:v>25.808559718235514</c:v>
                </c:pt>
                <c:pt idx="102">
                  <c:v>25.615242506216237</c:v>
                </c:pt>
                <c:pt idx="103">
                  <c:v>25.422010190429511</c:v>
                </c:pt>
                <c:pt idx="104">
                  <c:v>25.228857091237291</c:v>
                </c:pt>
                <c:pt idx="105">
                  <c:v>25.035777224920565</c:v>
                </c:pt>
                <c:pt idx="106">
                  <c:v>24.842764321610492</c:v>
                </c:pt>
                <c:pt idx="107">
                  <c:v>24.649811845498881</c:v>
                </c:pt>
                <c:pt idx="108">
                  <c:v>24.456913017214834</c:v>
                </c:pt>
                <c:pt idx="109">
                  <c:v>24.264060838223354</c:v>
                </c:pt>
                <c:pt idx="110">
                  <c:v>24.071248117074489</c:v>
                </c:pt>
                <c:pt idx="111">
                  <c:v>23.878467497304907</c:v>
                </c:pt>
                <c:pt idx="112">
                  <c:v>23.685711486768781</c:v>
                </c:pt>
                <c:pt idx="113">
                  <c:v>23.492972488155466</c:v>
                </c:pt>
                <c:pt idx="114">
                  <c:v>23.30024283043192</c:v>
                </c:pt>
                <c:pt idx="115">
                  <c:v>23.107514800935185</c:v>
                </c:pt>
                <c:pt idx="116">
                  <c:v>22.914780677829405</c:v>
                </c:pt>
                <c:pt idx="117">
                  <c:v>22.722032762636655</c:v>
                </c:pt>
                <c:pt idx="118">
                  <c:v>22.529263412549017</c:v>
                </c:pt>
                <c:pt idx="119">
                  <c:v>22.33646507223466</c:v>
                </c:pt>
                <c:pt idx="120">
                  <c:v>22.143630304854824</c:v>
                </c:pt>
                <c:pt idx="121">
                  <c:v>21.950751822025062</c:v>
                </c:pt>
                <c:pt idx="122">
                  <c:v>21.757822512465346</c:v>
                </c:pt>
                <c:pt idx="123">
                  <c:v>21.564835469107464</c:v>
                </c:pt>
                <c:pt idx="124">
                  <c:v>21.371784014446604</c:v>
                </c:pt>
                <c:pt idx="125">
                  <c:v>21.178661723953475</c:v>
                </c:pt>
                <c:pt idx="126">
                  <c:v>20.985462447386304</c:v>
                </c:pt>
                <c:pt idx="127">
                  <c:v>20.792180327875414</c:v>
                </c:pt>
                <c:pt idx="128">
                  <c:v>20.598809818679001</c:v>
                </c:pt>
                <c:pt idx="129">
                  <c:v>20.405345697540408</c:v>
                </c:pt>
                <c:pt idx="130">
                  <c:v>20.211783078609194</c:v>
                </c:pt>
                <c:pt idx="131">
                  <c:v>20.018117421913114</c:v>
                </c:pt>
                <c:pt idx="132">
                  <c:v>19.824344540399739</c:v>
                </c:pt>
                <c:pt idx="133">
                  <c:v>19.630460604590894</c:v>
                </c:pt>
                <c:pt idx="134">
                  <c:v>19.436462144918988</c:v>
                </c:pt>
                <c:pt idx="135">
                  <c:v>19.242346051832261</c:v>
                </c:pt>
                <c:pt idx="136">
                  <c:v>19.048109573781549</c:v>
                </c:pt>
                <c:pt idx="137">
                  <c:v>18.853750313210384</c:v>
                </c:pt>
                <c:pt idx="138">
                  <c:v>18.659266220691777</c:v>
                </c:pt>
                <c:pt idx="139">
                  <c:v>18.464655587356791</c:v>
                </c:pt>
                <c:pt idx="140">
                  <c:v>18.269917035778597</c:v>
                </c:pt>
                <c:pt idx="141">
                  <c:v>18.075049509470876</c:v>
                </c:pt>
                <c:pt idx="142">
                  <c:v>17.880052261169681</c:v>
                </c:pt>
                <c:pt idx="143">
                  <c:v>17.684924840064006</c:v>
                </c:pt>
                <c:pt idx="144">
                  <c:v>17.489667078140641</c:v>
                </c:pt>
                <c:pt idx="145">
                  <c:v>17.29427907580347</c:v>
                </c:pt>
                <c:pt idx="146">
                  <c:v>17.098761186923742</c:v>
                </c:pt>
                <c:pt idx="147">
                  <c:v>16.903114003468069</c:v>
                </c:pt>
                <c:pt idx="148">
                  <c:v>16.707338339846213</c:v>
                </c:pt>
                <c:pt idx="149">
                  <c:v>16.511435217108691</c:v>
                </c:pt>
                <c:pt idx="150">
                  <c:v>16.315405847115532</c:v>
                </c:pt>
                <c:pt idx="151">
                  <c:v>16.119251616786098</c:v>
                </c:pt>
                <c:pt idx="152">
                  <c:v>15.922974072532512</c:v>
                </c:pt>
                <c:pt idx="153">
                  <c:v>15.726574904961812</c:v>
                </c:pt>
                <c:pt idx="154">
                  <c:v>15.53005593393018</c:v>
                </c:pt>
                <c:pt idx="155">
                  <c:v>15.333419094012161</c:v>
                </c:pt>
                <c:pt idx="156">
                  <c:v>15.136666420447211</c:v>
                </c:pt>
                <c:pt idx="157">
                  <c:v>14.9398000356073</c:v>
                </c:pt>
                <c:pt idx="158">
                  <c:v>14.742822136027424</c:v>
                </c:pt>
                <c:pt idx="159">
                  <c:v>14.545734980027605</c:v>
                </c:pt>
                <c:pt idx="160">
                  <c:v>14.348540875947304</c:v>
                </c:pt>
                <c:pt idx="161">
                  <c:v>14.151242171009242</c:v>
                </c:pt>
                <c:pt idx="162">
                  <c:v>13.953841240817519</c:v>
                </c:pt>
                <c:pt idx="163">
                  <c:v>13.756340479493645</c:v>
                </c:pt>
                <c:pt idx="164">
                  <c:v>13.558742290445737</c:v>
                </c:pt>
                <c:pt idx="165">
                  <c:v>13.361049077762745</c:v>
                </c:pt>
                <c:pt idx="166">
                  <c:v>13.163263238220843</c:v>
                </c:pt>
                <c:pt idx="167">
                  <c:v>12.965387153884979</c:v>
                </c:pt>
                <c:pt idx="168">
                  <c:v>12.76742318528844</c:v>
                </c:pt>
                <c:pt idx="169">
                  <c:v>12.569373665165898</c:v>
                </c:pt>
                <c:pt idx="170">
                  <c:v>12.371240892718234</c:v>
                </c:pt>
                <c:pt idx="171">
                  <c:v>12.173027128382852</c:v>
                </c:pt>
                <c:pt idx="172">
                  <c:v>11.974734589083113</c:v>
                </c:pt>
                <c:pt idx="173">
                  <c:v>11.776365443929976</c:v>
                </c:pt>
                <c:pt idx="174">
                  <c:v>11.577921810347169</c:v>
                </c:pt>
                <c:pt idx="175">
                  <c:v>11.379405750592291</c:v>
                </c:pt>
                <c:pt idx="176">
                  <c:v>11.180819268646268</c:v>
                </c:pt>
                <c:pt idx="177">
                  <c:v>10.982164307441675</c:v>
                </c:pt>
                <c:pt idx="178">
                  <c:v>10.783442746404964</c:v>
                </c:pt>
                <c:pt idx="179">
                  <c:v>10.584656399282796</c:v>
                </c:pt>
                <c:pt idx="180">
                  <c:v>10.385807012228646</c:v>
                </c:pt>
                <c:pt idx="181">
                  <c:v>10.18689626212214</c:v>
                </c:pt>
                <c:pt idx="182">
                  <c:v>9.9879257550985372</c:v>
                </c:pt>
                <c:pt idx="183">
                  <c:v>9.7888970252620471</c:v>
                </c:pt>
                <c:pt idx="184">
                  <c:v>9.589811533562246</c:v>
                </c:pt>
                <c:pt idx="185">
                  <c:v>9.3906706668099247</c:v>
                </c:pt>
                <c:pt idx="186">
                  <c:v>9.1914757368126097</c:v>
                </c:pt>
                <c:pt idx="187">
                  <c:v>8.9922279796077778</c:v>
                </c:pt>
                <c:pt idx="188">
                  <c:v>8.7929285547770384</c:v>
                </c:pt>
                <c:pt idx="189">
                  <c:v>8.5935785448200193</c:v>
                </c:pt>
                <c:pt idx="190">
                  <c:v>8.394178954572908</c:v>
                </c:pt>
                <c:pt idx="191">
                  <c:v>8.194730710652955</c:v>
                </c:pt>
                <c:pt idx="192">
                  <c:v>7.9952346609139626</c:v>
                </c:pt>
                <c:pt idx="193">
                  <c:v>7.795691573897706</c:v>
                </c:pt>
                <c:pt idx="194">
                  <c:v>7.5961021382655467</c:v>
                </c:pt>
                <c:pt idx="195">
                  <c:v>7.3964669621976631</c:v>
                </c:pt>
                <c:pt idx="196">
                  <c:v>7.1967865727449878</c:v>
                </c:pt>
                <c:pt idx="197">
                  <c:v>6.9970614151227242</c:v>
                </c:pt>
                <c:pt idx="198">
                  <c:v>6.7972918519310888</c:v>
                </c:pt>
                <c:pt idx="199">
                  <c:v>6.597478162292882</c:v>
                </c:pt>
                <c:pt idx="200">
                  <c:v>6.3976205408955389</c:v>
                </c:pt>
                <c:pt idx="201">
                  <c:v>6.1977190969257858</c:v>
                </c:pt>
                <c:pt idx="202">
                  <c:v>5.9977738528871347</c:v>
                </c:pt>
                <c:pt idx="203">
                  <c:v>5.7977847432889451</c:v>
                </c:pt>
                <c:pt idx="204">
                  <c:v>5.5977516131953298</c:v>
                </c:pt>
                <c:pt idx="205">
                  <c:v>5.397674216625453</c:v>
                </c:pt>
                <c:pt idx="206">
                  <c:v>5.197552214793185</c:v>
                </c:pt>
                <c:pt idx="207">
                  <c:v>4.9973851741770972</c:v>
                </c:pt>
                <c:pt idx="208">
                  <c:v>4.7971725644099479</c:v>
                </c:pt>
                <c:pt idx="209">
                  <c:v>4.5969137559780417</c:v>
                </c:pt>
                <c:pt idx="210">
                  <c:v>4.3966080177203555</c:v>
                </c:pt>
                <c:pt idx="211">
                  <c:v>4.1962545141178555</c:v>
                </c:pt>
                <c:pt idx="212">
                  <c:v>3.9958523023622652</c:v>
                </c:pt>
                <c:pt idx="213">
                  <c:v>3.7954003291955041</c:v>
                </c:pt>
                <c:pt idx="214">
                  <c:v>3.5948974275100243</c:v>
                </c:pt>
                <c:pt idx="215">
                  <c:v>3.3943423126997176</c:v>
                </c:pt>
                <c:pt idx="216">
                  <c:v>3.1937335787526147</c:v>
                </c:pt>
                <c:pt idx="217">
                  <c:v>2.9930696940765116</c:v>
                </c:pt>
                <c:pt idx="218">
                  <c:v>2.7923489970474176</c:v>
                </c:pt>
                <c:pt idx="219">
                  <c:v>2.5915696912739588</c:v>
                </c:pt>
                <c:pt idx="220">
                  <c:v>2.3907298405681381</c:v>
                </c:pt>
                <c:pt idx="221">
                  <c:v>2.1898273636146599</c:v>
                </c:pt>
                <c:pt idx="222">
                  <c:v>1.9888600283338154</c:v>
                </c:pt>
                <c:pt idx="223">
                  <c:v>1.7878254459291141</c:v>
                </c:pt>
                <c:pt idx="224">
                  <c:v>1.5867210646154595</c:v>
                </c:pt>
                <c:pt idx="225">
                  <c:v>1.3855441630244434</c:v>
                </c:pt>
                <c:pt idx="226">
                  <c:v>1.1842918432804601</c:v>
                </c:pt>
                <c:pt idx="227">
                  <c:v>0.9829610237496933</c:v>
                </c:pt>
                <c:pt idx="228">
                  <c:v>0.78154843145925457</c:v>
                </c:pt>
                <c:pt idx="229">
                  <c:v>0.580050594187552</c:v>
                </c:pt>
                <c:pt idx="230">
                  <c:v>0.3784638322319272</c:v>
                </c:pt>
                <c:pt idx="231">
                  <c:v>0.17678424985568306</c:v>
                </c:pt>
                <c:pt idx="232">
                  <c:v>-2.4992273572829564E-2</c:v>
                </c:pt>
                <c:pt idx="233">
                  <c:v>-0.22687009274357484</c:v>
                </c:pt>
                <c:pt idx="234">
                  <c:v>-0.42885380585223731</c:v>
                </c:pt>
                <c:pt idx="235">
                  <c:v>-0.63094826431653117</c:v>
                </c:pt>
                <c:pt idx="236">
                  <c:v>-0.83315858274159416</c:v>
                </c:pt>
                <c:pt idx="237">
                  <c:v>-1.0354901491086248</c:v>
                </c:pt>
                <c:pt idx="238">
                  <c:v>-1.2379486351590254</c:v>
                </c:pt>
                <c:pt idx="239">
                  <c:v>-1.4405400069421894</c:v>
                </c:pt>
                <c:pt idx="240">
                  <c:v>-1.6432705354885777</c:v>
                </c:pt>
                <c:pt idx="241">
                  <c:v>-1.8461468075678844</c:v>
                </c:pt>
                <c:pt idx="242">
                  <c:v>-2.0491757364839591</c:v>
                </c:pt>
                <c:pt idx="243">
                  <c:v>-2.2523645728562012</c:v>
                </c:pt>
                <c:pt idx="244">
                  <c:v>-2.4557209153299513</c:v>
                </c:pt>
                <c:pt idx="245">
                  <c:v>-2.6592527211537664</c:v>
                </c:pt>
                <c:pt idx="246">
                  <c:v>-2.8629683165562083</c:v>
                </c:pt>
                <c:pt idx="247">
                  <c:v>-3.0668764068499241</c:v>
                </c:pt>
                <c:pt idx="248">
                  <c:v>-3.2709860861830569</c:v>
                </c:pt>
                <c:pt idx="249">
                  <c:v>-3.4753068468572934</c:v>
                </c:pt>
                <c:pt idx="250">
                  <c:v>-3.6798485881223209</c:v>
                </c:pt>
                <c:pt idx="251">
                  <c:v>-3.884621624353894</c:v>
                </c:pt>
                <c:pt idx="252">
                  <c:v>-4.089636692517499</c:v>
                </c:pt>
                <c:pt idx="253">
                  <c:v>-4.2949049588153843</c:v>
                </c:pt>
                <c:pt idx="254">
                  <c:v>-4.5004380244104256</c:v>
                </c:pt>
                <c:pt idx="255">
                  <c:v>-4.7062479301165459</c:v>
                </c:pt>
                <c:pt idx="256">
                  <c:v>-4.9123471599414792</c:v>
                </c:pt>
                <c:pt idx="257">
                  <c:v>-5.1187486433667351</c:v>
                </c:pt>
                <c:pt idx="258">
                  <c:v>-5.3254657562442995</c:v>
                </c:pt>
                <c:pt idx="259">
                  <c:v>-5.5325123201891655</c:v>
                </c:pt>
                <c:pt idx="260">
                  <c:v>-5.7399026003455669</c:v>
                </c:pt>
                <c:pt idx="261">
                  <c:v>-5.9476513014015993</c:v>
                </c:pt>
                <c:pt idx="262">
                  <c:v>-6.1557735617280374</c:v>
                </c:pt>
                <c:pt idx="263">
                  <c:v>-6.3642849455164106</c:v>
                </c:pt>
                <c:pt idx="264">
                  <c:v>-6.5732014327901496</c:v>
                </c:pt>
                <c:pt idx="265">
                  <c:v>-6.7825394071645206</c:v>
                </c:pt>
                <c:pt idx="266">
                  <c:v>-6.992315641231901</c:v>
                </c:pt>
                <c:pt idx="267">
                  <c:v>-7.2025472794491154</c:v>
                </c:pt>
                <c:pt idx="268">
                  <c:v>-7.413251818406672</c:v>
                </c:pt>
                <c:pt idx="269">
                  <c:v>-7.6244470843606083</c:v>
                </c:pt>
                <c:pt idx="270">
                  <c:v>-7.8361512079121143</c:v>
                </c:pt>
                <c:pt idx="271">
                  <c:v>-8.0483825957219839</c:v>
                </c:pt>
                <c:pt idx="272">
                  <c:v>-8.2611598991511315</c:v>
                </c:pt>
                <c:pt idx="273">
                  <c:v>-8.4745019797249483</c:v>
                </c:pt>
                <c:pt idx="274">
                  <c:v>-8.6884278713228387</c:v>
                </c:pt>
                <c:pt idx="275">
                  <c:v>-8.9029567390032192</c:v>
                </c:pt>
                <c:pt idx="276">
                  <c:v>-9.1181078343815365</c:v>
                </c:pt>
                <c:pt idx="277">
                  <c:v>-9.3339004474889631</c:v>
                </c:pt>
                <c:pt idx="278">
                  <c:v>-9.5503538550521956</c:v>
                </c:pt>
                <c:pt idx="279">
                  <c:v>-9.767487265146011</c:v>
                </c:pt>
                <c:pt idx="280">
                  <c:v>-9.9853197581900979</c:v>
                </c:pt>
                <c:pt idx="281">
                  <c:v>-10.203870224276191</c:v>
                </c:pt>
                <c:pt idx="282">
                  <c:v>-10.423157296835686</c:v>
                </c:pt>
                <c:pt idx="283">
                  <c:v>-10.643199282681206</c:v>
                </c:pt>
                <c:pt idx="284">
                  <c:v>-10.864014088483035</c:v>
                </c:pt>
                <c:pt idx="285">
                  <c:v>-11.08561914377181</c:v>
                </c:pt>
                <c:pt idx="286">
                  <c:v>-11.308031320593908</c:v>
                </c:pt>
                <c:pt idx="287">
                  <c:v>-11.531266849982487</c:v>
                </c:pt>
                <c:pt idx="288">
                  <c:v>-11.755341235447659</c:v>
                </c:pt>
                <c:pt idx="289">
                  <c:v>-11.980269163734699</c:v>
                </c:pt>
                <c:pt idx="290">
                  <c:v>-12.206064413144821</c:v>
                </c:pt>
                <c:pt idx="291">
                  <c:v>-12.432739759761905</c:v>
                </c:pt>
                <c:pt idx="292">
                  <c:v>-12.660306881982535</c:v>
                </c:pt>
                <c:pt idx="293">
                  <c:v>-12.888776263796784</c:v>
                </c:pt>
                <c:pt idx="294">
                  <c:v>-13.118157097324039</c:v>
                </c:pt>
                <c:pt idx="295">
                  <c:v>-13.348457185160051</c:v>
                </c:pt>
                <c:pt idx="296">
                  <c:v>-13.579682843146463</c:v>
                </c:pt>
                <c:pt idx="297">
                  <c:v>-13.811838804225376</c:v>
                </c:pt>
                <c:pt idx="298">
                  <c:v>-14.044928124090262</c:v>
                </c:pt>
                <c:pt idx="299">
                  <c:v>-14.2789520893899</c:v>
                </c:pt>
                <c:pt idx="300">
                  <c:v>-14.513910129283405</c:v>
                </c:pt>
                <c:pt idx="301">
                  <c:v>-14.749799731176175</c:v>
                </c:pt>
                <c:pt idx="302">
                  <c:v>-14.986616361496816</c:v>
                </c:pt>
                <c:pt idx="303">
                  <c:v>-15.224353392390721</c:v>
                </c:pt>
                <c:pt idx="304">
                  <c:v>-15.463002035215915</c:v>
                </c:pt>
                <c:pt idx="305">
                  <c:v>-15.702551281727892</c:v>
                </c:pt>
                <c:pt idx="306">
                  <c:v>-15.94298785382183</c:v>
                </c:pt>
                <c:pt idx="307">
                  <c:v>-16.184296162683086</c:v>
                </c:pt>
                <c:pt idx="308">
                  <c:v>-16.426458278153486</c:v>
                </c:pt>
                <c:pt idx="309">
                  <c:v>-16.669453909074161</c:v>
                </c:pt>
                <c:pt idx="310">
                  <c:v>-16.913260395302249</c:v>
                </c:pt>
                <c:pt idx="311">
                  <c:v>-17.157852712021892</c:v>
                </c:pt>
                <c:pt idx="312">
                  <c:v>-17.403203486882198</c:v>
                </c:pt>
                <c:pt idx="313">
                  <c:v>-17.649283030395075</c:v>
                </c:pt>
                <c:pt idx="314">
                  <c:v>-17.896059379913588</c:v>
                </c:pt>
                <c:pt idx="315">
                  <c:v>-18.143498357392794</c:v>
                </c:pt>
                <c:pt idx="316">
                  <c:v>-18.391563641003195</c:v>
                </c:pt>
                <c:pt idx="317">
                  <c:v>-18.640216850533232</c:v>
                </c:pt>
                <c:pt idx="318">
                  <c:v>-18.889417646377609</c:v>
                </c:pt>
                <c:pt idx="319">
                  <c:v>-19.139123841759901</c:v>
                </c:pt>
                <c:pt idx="320">
                  <c:v>-19.389291527702067</c:v>
                </c:pt>
                <c:pt idx="321">
                  <c:v>-19.639875210103035</c:v>
                </c:pt>
                <c:pt idx="322">
                  <c:v>-19.890827958154897</c:v>
                </c:pt>
                <c:pt idx="323">
                  <c:v>-20.142101563190423</c:v>
                </c:pt>
                <c:pt idx="324">
                  <c:v>-20.393646706934419</c:v>
                </c:pt>
                <c:pt idx="325">
                  <c:v>-20.645413138013105</c:v>
                </c:pt>
                <c:pt idx="326">
                  <c:v>-20.897349855478854</c:v>
                </c:pt>
                <c:pt idx="327">
                  <c:v>-21.149405298018454</c:v>
                </c:pt>
                <c:pt idx="328">
                  <c:v>-21.401527537441968</c:v>
                </c:pt>
                <c:pt idx="329">
                  <c:v>-21.653664474996038</c:v>
                </c:pt>
                <c:pt idx="330">
                  <c:v>-21.905764039006304</c:v>
                </c:pt>
                <c:pt idx="331">
                  <c:v>-22.15777438234058</c:v>
                </c:pt>
                <c:pt idx="332">
                  <c:v>-22.409644078181348</c:v>
                </c:pt>
                <c:pt idx="333">
                  <c:v>-22.661322312619788</c:v>
                </c:pt>
                <c:pt idx="334">
                  <c:v>-22.912759072619458</c:v>
                </c:pt>
                <c:pt idx="335">
                  <c:v>-23.163905327958247</c:v>
                </c:pt>
                <c:pt idx="336">
                  <c:v>-23.414713205827063</c:v>
                </c:pt>
                <c:pt idx="337">
                  <c:v>-23.665136156857159</c:v>
                </c:pt>
                <c:pt idx="338">
                  <c:v>-23.915129111447413</c:v>
                </c:pt>
                <c:pt idx="339">
                  <c:v>-24.164648625382227</c:v>
                </c:pt>
                <c:pt idx="340">
                  <c:v>-24.413653013853825</c:v>
                </c:pt>
                <c:pt idx="341">
                  <c:v>-24.662102473139949</c:v>
                </c:pt>
                <c:pt idx="342">
                  <c:v>-24.909959189323882</c:v>
                </c:pt>
                <c:pt idx="343">
                  <c:v>-25.157187433591712</c:v>
                </c:pt>
                <c:pt idx="344">
                  <c:v>-25.403753643785024</c:v>
                </c:pt>
                <c:pt idx="345">
                  <c:v>-25.649626492029793</c:v>
                </c:pt>
                <c:pt idx="346">
                  <c:v>-25.894776938408747</c:v>
                </c:pt>
                <c:pt idx="347">
                  <c:v>-26.139178270773677</c:v>
                </c:pt>
                <c:pt idx="348">
                  <c:v>-26.382806130931648</c:v>
                </c:pt>
                <c:pt idx="349">
                  <c:v>-26.625638527554205</c:v>
                </c:pt>
                <c:pt idx="350">
                  <c:v>-26.867655836273773</c:v>
                </c:pt>
                <c:pt idx="351">
                  <c:v>-27.108840787530092</c:v>
                </c:pt>
                <c:pt idx="352">
                  <c:v>-27.349178442820737</c:v>
                </c:pt>
                <c:pt idx="353">
                  <c:v>-27.588656160081339</c:v>
                </c:pt>
                <c:pt idx="354">
                  <c:v>-27.827263548992448</c:v>
                </c:pt>
                <c:pt idx="355">
                  <c:v>-28.064992417049808</c:v>
                </c:pt>
                <c:pt idx="356">
                  <c:v>-28.301836707282853</c:v>
                </c:pt>
                <c:pt idx="357">
                  <c:v>-28.537792428523566</c:v>
                </c:pt>
                <c:pt idx="358">
                  <c:v>-28.772857579143619</c:v>
                </c:pt>
                <c:pt idx="359">
                  <c:v>-29.007032065180319</c:v>
                </c:pt>
                <c:pt idx="360">
                  <c:v>-29.240317613759359</c:v>
                </c:pt>
                <c:pt idx="361">
                  <c:v>-29.472717682705763</c:v>
                </c:pt>
                <c:pt idx="362">
                  <c:v>-29.704237367208034</c:v>
                </c:pt>
                <c:pt idx="363">
                  <c:v>-29.934883304362057</c:v>
                </c:pt>
                <c:pt idx="364">
                  <c:v>-30.164663576383219</c:v>
                </c:pt>
                <c:pt idx="365">
                  <c:v>-30.393587613226916</c:v>
                </c:pt>
                <c:pt idx="366">
                  <c:v>-30.621666095307226</c:v>
                </c:pt>
                <c:pt idx="367">
                  <c:v>-30.848910856949225</c:v>
                </c:pt>
                <c:pt idx="368">
                  <c:v>-31.075334791154646</c:v>
                </c:pt>
                <c:pt idx="369">
                  <c:v>-31.300951756203503</c:v>
                </c:pt>
                <c:pt idx="370">
                  <c:v>-31.52577648455576</c:v>
                </c:pt>
                <c:pt idx="371">
                  <c:v>-31.749824494461372</c:v>
                </c:pt>
                <c:pt idx="372">
                  <c:v>-31.973112004630906</c:v>
                </c:pt>
                <c:pt idx="373">
                  <c:v>-32.195655852262881</c:v>
                </c:pt>
                <c:pt idx="374">
                  <c:v>-32.417473414675548</c:v>
                </c:pt>
                <c:pt idx="375">
                  <c:v>-32.638582534738745</c:v>
                </c:pt>
                <c:pt idx="376">
                  <c:v>-32.859001450256258</c:v>
                </c:pt>
                <c:pt idx="377">
                  <c:v>-33.078748727407515</c:v>
                </c:pt>
                <c:pt idx="378">
                  <c:v>-33.297843198315164</c:v>
                </c:pt>
                <c:pt idx="379">
                  <c:v>-33.516303902771995</c:v>
                </c:pt>
                <c:pt idx="380">
                  <c:v>-33.73415003412611</c:v>
                </c:pt>
                <c:pt idx="381">
                  <c:v>-33.951400889295826</c:v>
                </c:pt>
                <c:pt idx="382">
                  <c:v>-34.168075822858633</c:v>
                </c:pt>
                <c:pt idx="383">
                  <c:v>-34.38419420513776</c:v>
                </c:pt>
                <c:pt idx="384">
                  <c:v>-34.599775384191666</c:v>
                </c:pt>
                <c:pt idx="385">
                  <c:v>-34.814838651591458</c:v>
                </c:pt>
                <c:pt idx="386">
                  <c:v>-35.029403211864867</c:v>
                </c:pt>
                <c:pt idx="387">
                  <c:v>-35.243488155468953</c:v>
                </c:pt>
                <c:pt idx="388">
                  <c:v>-35.457112435148758</c:v>
                </c:pt>
                <c:pt idx="389">
                  <c:v>-35.670294845532325</c:v>
                </c:pt>
                <c:pt idx="390">
                  <c:v>-35.883054005809235</c:v>
                </c:pt>
                <c:pt idx="391">
                  <c:v>-36.095408345336651</c:v>
                </c:pt>
                <c:pt idx="392">
                  <c:v>-36.307376092018025</c:v>
                </c:pt>
                <c:pt idx="393">
                  <c:v>-36.518975263298685</c:v>
                </c:pt>
                <c:pt idx="394">
                  <c:v>-36.730223659626105</c:v>
                </c:pt>
                <c:pt idx="395">
                  <c:v>-36.941138860225074</c:v>
                </c:pt>
                <c:pt idx="396">
                  <c:v>-37.151738221042386</c:v>
                </c:pt>
                <c:pt idx="397">
                  <c:v>-37.362038874719708</c:v>
                </c:pt>
                <c:pt idx="398">
                  <c:v>-37.572057732459776</c:v>
                </c:pt>
                <c:pt idx="399">
                  <c:v>-37.781811487655929</c:v>
                </c:pt>
                <c:pt idx="400">
                  <c:v>-37.991316621160529</c:v>
                </c:pt>
                <c:pt idx="401">
                  <c:v>-38.200589408075864</c:v>
                </c:pt>
                <c:pt idx="402">
                  <c:v>-38.409645925956141</c:v>
                </c:pt>
                <c:pt idx="403">
                  <c:v>-38.618502064315813</c:v>
                </c:pt>
                <c:pt idx="404">
                  <c:v>-38.827173535347164</c:v>
                </c:pt>
                <c:pt idx="405">
                  <c:v>-39.035675885753804</c:v>
                </c:pt>
                <c:pt idx="406">
                  <c:v>-39.244024509617248</c:v>
                </c:pt>
                <c:pt idx="407">
                  <c:v>-39.452234662215126</c:v>
                </c:pt>
                <c:pt idx="408">
                  <c:v>-39.660321474718252</c:v>
                </c:pt>
                <c:pt idx="409">
                  <c:v>-39.868299969700487</c:v>
                </c:pt>
                <c:pt idx="410">
                  <c:v>-40.076185077395394</c:v>
                </c:pt>
                <c:pt idx="411">
                  <c:v>-40.283991652646719</c:v>
                </c:pt>
                <c:pt idx="412">
                  <c:v>-40.491734492496036</c:v>
                </c:pt>
                <c:pt idx="413">
                  <c:v>-40.699428354362041</c:v>
                </c:pt>
                <c:pt idx="414">
                  <c:v>-40.90708797476583</c:v>
                </c:pt>
                <c:pt idx="415">
                  <c:v>-41.114728088561669</c:v>
                </c:pt>
                <c:pt idx="416">
                  <c:v>-41.322363448636892</c:v>
                </c:pt>
                <c:pt idx="417">
                  <c:v>-41.530008846045362</c:v>
                </c:pt>
                <c:pt idx="418">
                  <c:v>-41.737679130543015</c:v>
                </c:pt>
                <c:pt idx="419">
                  <c:v>-41.945389231496151</c:v>
                </c:pt>
                <c:pt idx="420">
                  <c:v>-42.153154179134916</c:v>
                </c:pt>
                <c:pt idx="421">
                  <c:v>-42.360989126123826</c:v>
                </c:pt>
                <c:pt idx="422">
                  <c:v>-42.56890936942596</c:v>
                </c:pt>
                <c:pt idx="423">
                  <c:v>-42.776930372434109</c:v>
                </c:pt>
                <c:pt idx="424">
                  <c:v>-42.985067787345201</c:v>
                </c:pt>
                <c:pt idx="425">
                  <c:v>-43.193337477753047</c:v>
                </c:pt>
                <c:pt idx="426">
                  <c:v>-43.401755541433431</c:v>
                </c:pt>
                <c:pt idx="427">
                  <c:v>-43.610338333294706</c:v>
                </c:pt>
                <c:pt idx="428">
                  <c:v>-43.81910248846718</c:v>
                </c:pt>
                <c:pt idx="429">
                  <c:v>-44.028064945500844</c:v>
                </c:pt>
                <c:pt idx="430">
                  <c:v>-44.237242969638473</c:v>
                </c:pt>
                <c:pt idx="431">
                  <c:v>-44.446654176130522</c:v>
                </c:pt>
                <c:pt idx="432">
                  <c:v>-44.656316553554191</c:v>
                </c:pt>
                <c:pt idx="433">
                  <c:v>-44.866248487093927</c:v>
                </c:pt>
                <c:pt idx="434">
                  <c:v>-45.076468781739152</c:v>
                </c:pt>
                <c:pt idx="435">
                  <c:v>-45.286996685349138</c:v>
                </c:pt>
                <c:pt idx="436">
                  <c:v>-45.497851911530695</c:v>
                </c:pt>
                <c:pt idx="437">
                  <c:v>-45.709054662268343</c:v>
                </c:pt>
                <c:pt idx="438">
                  <c:v>-45.92062565024208</c:v>
                </c:pt>
                <c:pt idx="439">
                  <c:v>-46.132586120761147</c:v>
                </c:pt>
                <c:pt idx="440">
                  <c:v>-46.344957873235877</c:v>
                </c:pt>
                <c:pt idx="441">
                  <c:v>-46.557763282103068</c:v>
                </c:pt>
                <c:pt idx="442">
                  <c:v>-46.771025317112333</c:v>
                </c:pt>
                <c:pt idx="443">
                  <c:v>-46.984767562875085</c:v>
                </c:pt>
                <c:pt idx="444">
                  <c:v>-47.199014237568456</c:v>
                </c:pt>
                <c:pt idx="445">
                  <c:v>-47.413790210678812</c:v>
                </c:pt>
                <c:pt idx="446">
                  <c:v>-47.629121019662534</c:v>
                </c:pt>
                <c:pt idx="447">
                  <c:v>-47.845032885391731</c:v>
                </c:pt>
                <c:pt idx="448">
                  <c:v>-48.061552726245147</c:v>
                </c:pt>
                <c:pt idx="449">
                  <c:v>-48.278708170695708</c:v>
                </c:pt>
                <c:pt idx="450">
                  <c:v>-48.496527568239401</c:v>
                </c:pt>
                <c:pt idx="451">
                  <c:v>-48.715039998500423</c:v>
                </c:pt>
                <c:pt idx="452">
                  <c:v>-48.934275278339243</c:v>
                </c:pt>
                <c:pt idx="453">
                  <c:v>-49.154263966787546</c:v>
                </c:pt>
                <c:pt idx="454">
                  <c:v>-49.375037367621033</c:v>
                </c:pt>
                <c:pt idx="455">
                  <c:v>-49.596627529381493</c:v>
                </c:pt>
                <c:pt idx="456">
                  <c:v>-49.81906724264887</c:v>
                </c:pt>
                <c:pt idx="457">
                  <c:v>-50.042390034366697</c:v>
                </c:pt>
                <c:pt idx="458">
                  <c:v>-50.26663015901601</c:v>
                </c:pt>
                <c:pt idx="459">
                  <c:v>-50.491822586435092</c:v>
                </c:pt>
                <c:pt idx="460">
                  <c:v>-50.718002986083881</c:v>
                </c:pt>
                <c:pt idx="461">
                  <c:v>-50.945207707551276</c:v>
                </c:pt>
                <c:pt idx="462">
                  <c:v>-51.173473757112902</c:v>
                </c:pt>
                <c:pt idx="463">
                  <c:v>-51.40283877015019</c:v>
                </c:pt>
                <c:pt idx="464">
                  <c:v>-51.633340979254413</c:v>
                </c:pt>
                <c:pt idx="465">
                  <c:v>-51.865019177848957</c:v>
                </c:pt>
                <c:pt idx="466">
                  <c:v>-52.097912679183416</c:v>
                </c:pt>
                <c:pt idx="467">
                  <c:v>-52.332061270565326</c:v>
                </c:pt>
                <c:pt idx="468">
                  <c:v>-52.567505162723471</c:v>
                </c:pt>
                <c:pt idx="469">
                  <c:v>-52.804284934217584</c:v>
                </c:pt>
                <c:pt idx="470">
                  <c:v>-53.042441470840501</c:v>
                </c:pt>
                <c:pt idx="471">
                  <c:v>-53.28201589999027</c:v>
                </c:pt>
                <c:pt idx="472">
                  <c:v>-53.523049520022987</c:v>
                </c:pt>
                <c:pt idx="473">
                  <c:v>-53.765583724641218</c:v>
                </c:pt>
                <c:pt idx="474">
                  <c:v>-54.009659922409682</c:v>
                </c:pt>
                <c:pt idx="475">
                  <c:v>-54.255319451535499</c:v>
                </c:pt>
                <c:pt idx="476">
                  <c:v>-54.502603490101926</c:v>
                </c:pt>
                <c:pt idx="477">
                  <c:v>-54.751552961987926</c:v>
                </c:pt>
                <c:pt idx="478">
                  <c:v>-55.002208438762281</c:v>
                </c:pt>
                <c:pt idx="479">
                  <c:v>-55.254610037890103</c:v>
                </c:pt>
                <c:pt idx="480">
                  <c:v>-55.508797317644451</c:v>
                </c:pt>
                <c:pt idx="481">
                  <c:v>-55.764809169168885</c:v>
                </c:pt>
                <c:pt idx="482">
                  <c:v>-56.022683706185262</c:v>
                </c:pt>
                <c:pt idx="483">
                  <c:v>-56.282458152895899</c:v>
                </c:pt>
                <c:pt idx="484">
                  <c:v>-56.544168730673434</c:v>
                </c:pt>
                <c:pt idx="485">
                  <c:v>-56.807850544176048</c:v>
                </c:pt>
                <c:pt idx="486">
                  <c:v>-57.073537467565707</c:v>
                </c:pt>
                <c:pt idx="487">
                  <c:v>-57.341262031542435</c:v>
                </c:pt>
                <c:pt idx="488">
                  <c:v>-57.611055311929633</c:v>
                </c:pt>
                <c:pt idx="489">
                  <c:v>-57.882946820576038</c:v>
                </c:pt>
                <c:pt idx="490">
                  <c:v>-58.156964399343195</c:v>
                </c:pt>
                <c:pt idx="491">
                  <c:v>-58.433134117957614</c:v>
                </c:pt>
                <c:pt idx="492">
                  <c:v>-58.711480176500679</c:v>
                </c:pt>
                <c:pt idx="493">
                  <c:v>-58.992024813295778</c:v>
                </c:pt>
                <c:pt idx="494">
                  <c:v>-59.274788218928904</c:v>
                </c:pt>
                <c:pt idx="495">
                  <c:v>-59.559788457106023</c:v>
                </c:pt>
                <c:pt idx="496">
                  <c:v>-59.847041393008809</c:v>
                </c:pt>
                <c:pt idx="497">
                  <c:v>-60.13656062975754</c:v>
                </c:pt>
                <c:pt idx="498">
                  <c:v>-60.428357453532172</c:v>
                </c:pt>
                <c:pt idx="499">
                  <c:v>-60.722440787831495</c:v>
                </c:pt>
                <c:pt idx="500">
                  <c:v>-61.018817157278001</c:v>
                </c:pt>
                <c:pt idx="501">
                  <c:v>-61.317490661293512</c:v>
                </c:pt>
                <c:pt idx="502">
                  <c:v>-61.618462957884368</c:v>
                </c:pt>
                <c:pt idx="503">
                  <c:v>-61.921733257685673</c:v>
                </c:pt>
                <c:pt idx="504">
                  <c:v>-62.227298328322121</c:v>
                </c:pt>
                <c:pt idx="505">
                  <c:v>-62.535152509050754</c:v>
                </c:pt>
                <c:pt idx="506">
                  <c:v>-62.845287735555544</c:v>
                </c:pt>
                <c:pt idx="507">
                  <c:v>-63.157693574678639</c:v>
                </c:pt>
                <c:pt idx="508">
                  <c:v>-63.472357268780257</c:v>
                </c:pt>
                <c:pt idx="509">
                  <c:v>-63.789263789342563</c:v>
                </c:pt>
                <c:pt idx="510">
                  <c:v>-64.108395899350541</c:v>
                </c:pt>
                <c:pt idx="511">
                  <c:v>-64.429734223918146</c:v>
                </c:pt>
                <c:pt idx="512">
                  <c:v>-64.753257328563478</c:v>
                </c:pt>
                <c:pt idx="513">
                  <c:v>-65.078941804484145</c:v>
                </c:pt>
                <c:pt idx="514">
                  <c:v>-65.406762360138345</c:v>
                </c:pt>
                <c:pt idx="515">
                  <c:v>-65.736691918405242</c:v>
                </c:pt>
                <c:pt idx="516">
                  <c:v>-66.068701718569713</c:v>
                </c:pt>
                <c:pt idx="517">
                  <c:v>-66.402761422362261</c:v>
                </c:pt>
                <c:pt idx="518">
                  <c:v>-66.738839223278006</c:v>
                </c:pt>
                <c:pt idx="519">
                  <c:v>-67.07690195840334</c:v>
                </c:pt>
                <c:pt idx="520">
                  <c:v>-67.416915221985661</c:v>
                </c:pt>
                <c:pt idx="521">
                  <c:v>-67.758843480006149</c:v>
                </c:pt>
                <c:pt idx="522">
                  <c:v>-68.102650185036651</c:v>
                </c:pt>
                <c:pt idx="523">
                  <c:v>-68.448297890698854</c:v>
                </c:pt>
                <c:pt idx="524">
                  <c:v>-68.795748365080968</c:v>
                </c:pt>
                <c:pt idx="525">
                  <c:v>-69.144962702506774</c:v>
                </c:pt>
                <c:pt idx="526">
                  <c:v>-69.495901433104279</c:v>
                </c:pt>
                <c:pt idx="527">
                  <c:v>-69.848524629667182</c:v>
                </c:pt>
                <c:pt idx="528">
                  <c:v>-70.202792011353367</c:v>
                </c:pt>
                <c:pt idx="529">
                  <c:v>-70.558663043822477</c:v>
                </c:pt>
                <c:pt idx="530">
                  <c:v>-70.916097035458336</c:v>
                </c:pt>
                <c:pt idx="531">
                  <c:v>-71.275053229385762</c:v>
                </c:pt>
                <c:pt idx="532">
                  <c:v>-71.635490891033641</c:v>
                </c:pt>
                <c:pt idx="533">
                  <c:v>-71.997369391052629</c:v>
                </c:pt>
                <c:pt idx="534">
                  <c:v>-72.360648283439701</c:v>
                </c:pt>
                <c:pt idx="535">
                  <c:v>-72.725287378769423</c:v>
                </c:pt>
                <c:pt idx="536">
                  <c:v>-73.091246812473457</c:v>
                </c:pt>
                <c:pt idx="537">
                  <c:v>-73.458487108151758</c:v>
                </c:pt>
                <c:pt idx="538">
                  <c:v>-73.826969235930392</c:v>
                </c:pt>
                <c:pt idx="539">
                  <c:v>-74.196654665919496</c:v>
                </c:pt>
                <c:pt idx="540">
                  <c:v>-74.567505416850054</c:v>
                </c:pt>
                <c:pt idx="541">
                  <c:v>-74.939484099997799</c:v>
                </c:pt>
              </c:numCache>
            </c:numRef>
          </c:yVal>
          <c:smooth val="1"/>
          <c:extLst>
            <c:ext xmlns:c16="http://schemas.microsoft.com/office/drawing/2014/chart" uri="{C3380CC4-5D6E-409C-BE32-E72D297353CC}">
              <c16:uniqueId val="{00000000-08A4-45AE-BD5A-C2D048D75805}"/>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Control_Loop_Tables!$BL$19:$BL$560</c:f>
              <c:numCache>
                <c:formatCode>General</c:formatCode>
                <c:ptCount val="542"/>
                <c:pt idx="0">
                  <c:v>90.237665651233243</c:v>
                </c:pt>
                <c:pt idx="1">
                  <c:v>90.2431270760123</c:v>
                </c:pt>
                <c:pt idx="2">
                  <c:v>90.248710424005694</c:v>
                </c:pt>
                <c:pt idx="3">
                  <c:v>90.254418161683191</c:v>
                </c:pt>
                <c:pt idx="4">
                  <c:v>90.260252786838052</c:v>
                </c:pt>
                <c:pt idx="5">
                  <c:v>90.26621682751815</c:v>
                </c:pt>
                <c:pt idx="6">
                  <c:v>90.27231284081148</c:v>
                </c:pt>
                <c:pt idx="7">
                  <c:v>90.278543411476278</c:v>
                </c:pt>
                <c:pt idx="8">
                  <c:v>90.284911150403005</c:v>
                </c:pt>
                <c:pt idx="9">
                  <c:v>90.291418692896357</c:v>
                </c:pt>
                <c:pt idx="10">
                  <c:v>90.298068696763337</c:v>
                </c:pt>
                <c:pt idx="11">
                  <c:v>90.304863840194528</c:v>
                </c:pt>
                <c:pt idx="12">
                  <c:v>90.311806819423595</c:v>
                </c:pt>
                <c:pt idx="13">
                  <c:v>90.318900346148524</c:v>
                </c:pt>
                <c:pt idx="14">
                  <c:v>90.326147144699263</c:v>
                </c:pt>
                <c:pt idx="15">
                  <c:v>90.333549948933253</c:v>
                </c:pt>
                <c:pt idx="16">
                  <c:v>90.341111498842224</c:v>
                </c:pt>
                <c:pt idx="17">
                  <c:v>90.348834536848059</c:v>
                </c:pt>
                <c:pt idx="18">
                  <c:v>90.356721803770242</c:v>
                </c:pt>
                <c:pt idx="19">
                  <c:v>90.364776034442244</c:v>
                </c:pt>
                <c:pt idx="20">
                  <c:v>90.37299995295362</c:v>
                </c:pt>
                <c:pt idx="21">
                  <c:v>90.381396267495518</c:v>
                </c:pt>
                <c:pt idx="22">
                  <c:v>90.389967664784294</c:v>
                </c:pt>
                <c:pt idx="23">
                  <c:v>90.398716804037562</c:v>
                </c:pt>
                <c:pt idx="24">
                  <c:v>90.407646310475627</c:v>
                </c:pt>
                <c:pt idx="25">
                  <c:v>90.41675876832025</c:v>
                </c:pt>
                <c:pt idx="26">
                  <c:v>90.426056713262071</c:v>
                </c:pt>
                <c:pt idx="27">
                  <c:v>90.43554262436588</c:v>
                </c:pt>
                <c:pt idx="28">
                  <c:v>90.445218915382085</c:v>
                </c:pt>
                <c:pt idx="29">
                  <c:v>90.455087925433588</c:v>
                </c:pt>
                <c:pt idx="30">
                  <c:v>90.465151909043072</c:v>
                </c:pt>
                <c:pt idx="31">
                  <c:v>90.475413025467802</c:v>
                </c:pt>
                <c:pt idx="32">
                  <c:v>90.485873327305512</c:v>
                </c:pt>
                <c:pt idx="33">
                  <c:v>90.496534748338178</c:v>
                </c:pt>
                <c:pt idx="34">
                  <c:v>90.50739909057458</c:v>
                </c:pt>
                <c:pt idx="35">
                  <c:v>90.518468010457497</c:v>
                </c:pt>
                <c:pt idx="36">
                  <c:v>90.529743004197798</c:v>
                </c:pt>
                <c:pt idx="37">
                  <c:v>90.541225392197731</c:v>
                </c:pt>
                <c:pt idx="38">
                  <c:v>90.552916302530249</c:v>
                </c:pt>
                <c:pt idx="39">
                  <c:v>90.564816653433894</c:v>
                </c:pt>
                <c:pt idx="40">
                  <c:v>90.576927134792271</c:v>
                </c:pt>
                <c:pt idx="41">
                  <c:v>90.589248188562578</c:v>
                </c:pt>
                <c:pt idx="42">
                  <c:v>90.601779988121763</c:v>
                </c:pt>
                <c:pt idx="43">
                  <c:v>90.614522416500066</c:v>
                </c:pt>
                <c:pt idx="44">
                  <c:v>90.627475043474604</c:v>
                </c:pt>
                <c:pt idx="45">
                  <c:v>90.640637101502094</c:v>
                </c:pt>
                <c:pt idx="46">
                  <c:v>90.654007460465962</c:v>
                </c:pt>
                <c:pt idx="47">
                  <c:v>90.66758460122621</c:v>
                </c:pt>
                <c:pt idx="48">
                  <c:v>90.68136658796189</c:v>
                </c:pt>
                <c:pt idx="49">
                  <c:v>90.695351039301457</c:v>
                </c:pt>
                <c:pt idx="50">
                  <c:v>90.709535098244601</c:v>
                </c:pt>
                <c:pt idx="51">
                  <c:v>90.723915400888544</c:v>
                </c:pt>
                <c:pt idx="52">
                  <c:v>90.738488043978819</c:v>
                </c:pt>
                <c:pt idx="53">
                  <c:v>90.7532485513144</c:v>
                </c:pt>
                <c:pt idx="54">
                  <c:v>90.768191839052989</c:v>
                </c:pt>
                <c:pt idx="55">
                  <c:v>90.783312179967794</c:v>
                </c:pt>
                <c:pt idx="56">
                  <c:v>90.798603166727702</c:v>
                </c:pt>
                <c:pt idx="57">
                  <c:v>90.814057674284285</c:v>
                </c:pt>
                <c:pt idx="58">
                  <c:v>90.829667821466444</c:v>
                </c:pt>
                <c:pt idx="59">
                  <c:v>90.845424931901448</c:v>
                </c:pt>
                <c:pt idx="60">
                  <c:v>90.861319494401897</c:v>
                </c:pt>
                <c:pt idx="61">
                  <c:v>90.877341122976233</c:v>
                </c:pt>
                <c:pt idx="62">
                  <c:v>90.893478516643569</c:v>
                </c:pt>
                <c:pt idx="63">
                  <c:v>90.909719419259446</c:v>
                </c:pt>
                <c:pt idx="64">
                  <c:v>90.926050579577378</c:v>
                </c:pt>
                <c:pt idx="65">
                  <c:v>90.942457711802732</c:v>
                </c:pt>
                <c:pt idx="66">
                  <c:v>90.958925456918308</c:v>
                </c:pt>
                <c:pt idx="67">
                  <c:v>90.975437345088281</c:v>
                </c:pt>
                <c:pt idx="68">
                  <c:v>90.991975759474357</c:v>
                </c:pt>
                <c:pt idx="69">
                  <c:v>91.008521901824153</c:v>
                </c:pt>
                <c:pt idx="70">
                  <c:v>91.025055760221989</c:v>
                </c:pt>
                <c:pt idx="71">
                  <c:v>91.041556079413667</c:v>
                </c:pt>
                <c:pt idx="72">
                  <c:v>91.058000334145106</c:v>
                </c:pt>
                <c:pt idx="73">
                  <c:v>91.074364705975626</c:v>
                </c:pt>
                <c:pt idx="74">
                  <c:v>91.090624064048683</c:v>
                </c:pt>
                <c:pt idx="75">
                  <c:v>91.106751950319676</c:v>
                </c:pt>
                <c:pt idx="76">
                  <c:v>91.122720569755259</c:v>
                </c:pt>
                <c:pt idx="77">
                  <c:v>91.138500786027095</c:v>
                </c:pt>
                <c:pt idx="78">
                  <c:v>91.154062123229778</c:v>
                </c:pt>
                <c:pt idx="79">
                  <c:v>91.169372774145771</c:v>
                </c:pt>
                <c:pt idx="80">
                  <c:v>91.184399615581285</c:v>
                </c:pt>
                <c:pt idx="81">
                  <c:v>91.199108231272959</c:v>
                </c:pt>
                <c:pt idx="82">
                  <c:v>91.213462942843037</c:v>
                </c:pt>
                <c:pt idx="83">
                  <c:v>91.227426849255636</c:v>
                </c:pt>
                <c:pt idx="84">
                  <c:v>91.240961875171521</c:v>
                </c:pt>
                <c:pt idx="85">
                  <c:v>91.254028828563307</c:v>
                </c:pt>
                <c:pt idx="86">
                  <c:v>91.266587467872341</c:v>
                </c:pt>
                <c:pt idx="87">
                  <c:v>91.27859657893535</c:v>
                </c:pt>
                <c:pt idx="88">
                  <c:v>91.290014061808321</c:v>
                </c:pt>
                <c:pt idx="89">
                  <c:v>91.300797027535367</c:v>
                </c:pt>
                <c:pt idx="90">
                  <c:v>91.310901904798982</c:v>
                </c:pt>
                <c:pt idx="91">
                  <c:v>91.320284556280825</c:v>
                </c:pt>
                <c:pt idx="92">
                  <c:v>91.328900404439551</c:v>
                </c:pt>
                <c:pt idx="93">
                  <c:v>91.336704566285647</c:v>
                </c:pt>
                <c:pt idx="94">
                  <c:v>91.343651996601182</c:v>
                </c:pt>
                <c:pt idx="95">
                  <c:v>91.349697638923502</c:v>
                </c:pt>
                <c:pt idx="96">
                  <c:v>91.354796583458139</c:v>
                </c:pt>
                <c:pt idx="97">
                  <c:v>91.358904230976009</c:v>
                </c:pt>
                <c:pt idx="98">
                  <c:v>91.361976461591055</c:v>
                </c:pt>
                <c:pt idx="99">
                  <c:v>91.363969807215213</c:v>
                </c:pt>
                <c:pt idx="100">
                  <c:v>91.364841626350866</c:v>
                </c:pt>
                <c:pt idx="101">
                  <c:v>91.36455027978856</c:v>
                </c:pt>
                <c:pt idx="102">
                  <c:v>91.363055305688064</c:v>
                </c:pt>
                <c:pt idx="103">
                  <c:v>91.360317592444375</c:v>
                </c:pt>
                <c:pt idx="104">
                  <c:v>91.356299547697361</c:v>
                </c:pt>
                <c:pt idx="105">
                  <c:v>91.350965261802813</c:v>
                </c:pt>
                <c:pt idx="106">
                  <c:v>91.344280664092963</c:v>
                </c:pt>
                <c:pt idx="107">
                  <c:v>91.336213670262325</c:v>
                </c:pt>
                <c:pt idx="108">
                  <c:v>91.326734319268795</c:v>
                </c:pt>
                <c:pt idx="109">
                  <c:v>91.315814898208203</c:v>
                </c:pt>
                <c:pt idx="110">
                  <c:v>91.303430053726004</c:v>
                </c:pt>
                <c:pt idx="111">
                  <c:v>91.289556888643261</c:v>
                </c:pt>
                <c:pt idx="112">
                  <c:v>91.274175042641943</c:v>
                </c:pt>
                <c:pt idx="113">
                  <c:v>91.257266755991225</c:v>
                </c:pt>
                <c:pt idx="114">
                  <c:v>91.238816915524865</c:v>
                </c:pt>
                <c:pt idx="115">
                  <c:v>91.218813082240061</c:v>
                </c:pt>
                <c:pt idx="116">
                  <c:v>91.197245500139189</c:v>
                </c:pt>
                <c:pt idx="117">
                  <c:v>91.17410708613393</c:v>
                </c:pt>
                <c:pt idx="118">
                  <c:v>91.149393401059029</c:v>
                </c:pt>
                <c:pt idx="119">
                  <c:v>91.123102602083165</c:v>
                </c:pt>
                <c:pt idx="120">
                  <c:v>91.095235376997039</c:v>
                </c:pt>
                <c:pt idx="121">
                  <c:v>91.065794861094219</c:v>
                </c:pt>
                <c:pt idx="122">
                  <c:v>91.034786537533108</c:v>
                </c:pt>
                <c:pt idx="123">
                  <c:v>91.002218122265788</c:v>
                </c:pt>
                <c:pt idx="124">
                  <c:v>90.968099434762024</c:v>
                </c:pt>
                <c:pt idx="125">
                  <c:v>90.932442255911525</c:v>
                </c:pt>
                <c:pt idx="126">
                  <c:v>90.895260174579391</c:v>
                </c:pt>
                <c:pt idx="127">
                  <c:v>90.856568424397324</c:v>
                </c:pt>
                <c:pt idx="128">
                  <c:v>90.816383712412161</c:v>
                </c:pt>
                <c:pt idx="129">
                  <c:v>90.774724041268726</c:v>
                </c:pt>
                <c:pt idx="130">
                  <c:v>90.731608526593561</c:v>
                </c:pt>
                <c:pt idx="131">
                  <c:v>90.687057211242333</c:v>
                </c:pt>
                <c:pt idx="132">
                  <c:v>90.641090878025594</c:v>
                </c:pt>
                <c:pt idx="133">
                  <c:v>90.593730862471887</c:v>
                </c:pt>
                <c:pt idx="134">
                  <c:v>90.544998867104553</c:v>
                </c:pt>
                <c:pt idx="135">
                  <c:v>90.494916778609337</c:v>
                </c:pt>
                <c:pt idx="136">
                  <c:v>90.443506489169195</c:v>
                </c:pt>
                <c:pt idx="137">
                  <c:v>90.390789723110018</c:v>
                </c:pt>
                <c:pt idx="138">
                  <c:v>90.336787869882983</c:v>
                </c:pt>
                <c:pt idx="139">
                  <c:v>90.281521824262981</c:v>
                </c:pt>
                <c:pt idx="140">
                  <c:v>90.225011834526256</c:v>
                </c:pt>
                <c:pt idx="141">
                  <c:v>90.167277359208114</c:v>
                </c:pt>
                <c:pt idx="142">
                  <c:v>90.108336932931607</c:v>
                </c:pt>
                <c:pt idx="143">
                  <c:v>90.048208041652373</c:v>
                </c:pt>
                <c:pt idx="144">
                  <c:v>89.986907007547316</c:v>
                </c:pt>
                <c:pt idx="145">
                  <c:v>89.924448883661285</c:v>
                </c:pt>
                <c:pt idx="146">
                  <c:v>89.860847358309599</c:v>
                </c:pt>
                <c:pt idx="147">
                  <c:v>89.796114669143577</c:v>
                </c:pt>
                <c:pt idx="148">
                  <c:v>89.730261526693752</c:v>
                </c:pt>
                <c:pt idx="149">
                  <c:v>89.663297047133227</c:v>
                </c:pt>
                <c:pt idx="150">
                  <c:v>89.595228693923204</c:v>
                </c:pt>
                <c:pt idx="151">
                  <c:v>89.526062227961347</c:v>
                </c:pt>
                <c:pt idx="152">
                  <c:v>89.455801665798887</c:v>
                </c:pt>
                <c:pt idx="153">
                  <c:v>89.384449245447698</c:v>
                </c:pt>
                <c:pt idx="154">
                  <c:v>89.312005399290129</c:v>
                </c:pt>
                <c:pt idx="155">
                  <c:v>89.238468733560097</c:v>
                </c:pt>
                <c:pt idx="156">
                  <c:v>89.163836013874842</c:v>
                </c:pt>
                <c:pt idx="157">
                  <c:v>89.088102156272953</c:v>
                </c:pt>
                <c:pt idx="158">
                  <c:v>89.011260223232156</c:v>
                </c:pt>
                <c:pt idx="159">
                  <c:v>88.933301424132125</c:v>
                </c:pt>
                <c:pt idx="160">
                  <c:v>88.854215119652366</c:v>
                </c:pt>
                <c:pt idx="161">
                  <c:v>88.773988829601862</c:v>
                </c:pt>
                <c:pt idx="162">
                  <c:v>88.692608243702992</c:v>
                </c:pt>
                <c:pt idx="163">
                  <c:v>88.610057234865764</c:v>
                </c:pt>
                <c:pt idx="164">
                  <c:v>88.526317874524651</c:v>
                </c:pt>
                <c:pt idx="165">
                  <c:v>88.441370449621203</c:v>
                </c:pt>
                <c:pt idx="166">
                  <c:v>88.355193480853984</c:v>
                </c:pt>
                <c:pt idx="167">
                  <c:v>88.267763741837811</c:v>
                </c:pt>
                <c:pt idx="168">
                  <c:v>88.179056278844257</c:v>
                </c:pt>
                <c:pt idx="169">
                  <c:v>88.089044430818817</c:v>
                </c:pt>
                <c:pt idx="170">
                  <c:v>87.997699849402622</c:v>
                </c:pt>
                <c:pt idx="171">
                  <c:v>87.904992518705029</c:v>
                </c:pt>
                <c:pt idx="172">
                  <c:v>87.810890774606307</c:v>
                </c:pt>
                <c:pt idx="173">
                  <c:v>87.715361323384954</c:v>
                </c:pt>
                <c:pt idx="174">
                  <c:v>87.618369259494131</c:v>
                </c:pt>
                <c:pt idx="175">
                  <c:v>87.519878082328333</c:v>
                </c:pt>
                <c:pt idx="176">
                  <c:v>87.419849711845899</c:v>
                </c:pt>
                <c:pt idx="177">
                  <c:v>87.318244502925367</c:v>
                </c:pt>
                <c:pt idx="178">
                  <c:v>87.215021258359158</c:v>
                </c:pt>
                <c:pt idx="179">
                  <c:v>87.110137240396682</c:v>
                </c:pt>
                <c:pt idx="180">
                  <c:v>87.003548180769243</c:v>
                </c:pt>
                <c:pt idx="181">
                  <c:v>86.895208289138452</c:v>
                </c:pt>
                <c:pt idx="182">
                  <c:v>86.785070259928318</c:v>
                </c:pt>
                <c:pt idx="183">
                  <c:v>86.673085277502111</c:v>
                </c:pt>
                <c:pt idx="184">
                  <c:v>86.559203019668232</c:v>
                </c:pt>
                <c:pt idx="185">
                  <c:v>86.443371659496094</c:v>
                </c:pt>
                <c:pt idx="186">
                  <c:v>86.325537865441063</c:v>
                </c:pt>
                <c:pt idx="187">
                  <c:v>86.20564679977646</c:v>
                </c:pt>
                <c:pt idx="188">
                  <c:v>86.083642115345469</c:v>
                </c:pt>
                <c:pt idx="189">
                  <c:v>85.959465950643235</c:v>
                </c:pt>
                <c:pt idx="190">
                  <c:v>85.833058923251556</c:v>
                </c:pt>
                <c:pt idx="191">
                  <c:v>85.704360121648151</c:v>
                </c:pt>
                <c:pt idx="192">
                  <c:v>85.573307095420489</c:v>
                </c:pt>
                <c:pt idx="193">
                  <c:v>85.439835843914494</c:v>
                </c:pt>
                <c:pt idx="194">
                  <c:v>85.303880803353366</c:v>
                </c:pt>
                <c:pt idx="195">
                  <c:v>85.165374832465716</c:v>
                </c:pt>
                <c:pt idx="196">
                  <c:v>85.024249196663348</c:v>
                </c:pt>
                <c:pt idx="197">
                  <c:v>84.880433550810565</c:v>
                </c:pt>
                <c:pt idx="198">
                  <c:v>84.733855920633872</c:v>
                </c:pt>
                <c:pt idx="199">
                  <c:v>84.584442682817823</c:v>
                </c:pt>
                <c:pt idx="200">
                  <c:v>84.432118543839721</c:v>
                </c:pt>
                <c:pt idx="201">
                  <c:v>84.276806517595531</c:v>
                </c:pt>
                <c:pt idx="202">
                  <c:v>84.118427901872948</c:v>
                </c:pt>
                <c:pt idx="203">
                  <c:v>83.956902253730462</c:v>
                </c:pt>
                <c:pt idx="204">
                  <c:v>83.792147363844649</c:v>
                </c:pt>
                <c:pt idx="205">
                  <c:v>83.624079229888679</c:v>
                </c:pt>
                <c:pt idx="206">
                  <c:v>83.4526120290123</c:v>
                </c:pt>
                <c:pt idx="207">
                  <c:v>83.277658089494054</c:v>
                </c:pt>
                <c:pt idx="208">
                  <c:v>83.099127861642032</c:v>
                </c:pt>
                <c:pt idx="209">
                  <c:v>82.91692988802464</c:v>
                </c:pt>
                <c:pt idx="210">
                  <c:v>82.730970773115814</c:v>
                </c:pt>
                <c:pt idx="211">
                  <c:v>82.541155152447018</c:v>
                </c:pt>
                <c:pt idx="212">
                  <c:v>82.347385661363305</c:v>
                </c:pt>
                <c:pt idx="213">
                  <c:v>82.149562903487066</c:v>
                </c:pt>
                <c:pt idx="214">
                  <c:v>81.947585418999253</c:v>
                </c:pt>
                <c:pt idx="215">
                  <c:v>81.741349652859881</c:v>
                </c:pt>
                <c:pt idx="216">
                  <c:v>81.530749923091733</c:v>
                </c:pt>
                <c:pt idx="217">
                  <c:v>81.315678389266594</c:v>
                </c:pt>
                <c:pt idx="218">
                  <c:v>81.096025021337056</c:v>
                </c:pt>
                <c:pt idx="219">
                  <c:v>80.871677568974235</c:v>
                </c:pt>
                <c:pt idx="220">
                  <c:v>80.642521531575042</c:v>
                </c:pt>
                <c:pt idx="221">
                  <c:v>80.408440129122042</c:v>
                </c:pt>
                <c:pt idx="222">
                  <c:v>80.169314274086275</c:v>
                </c:pt>
                <c:pt idx="223">
                  <c:v>79.925022544579207</c:v>
                </c:pt>
                <c:pt idx="224">
                  <c:v>79.675441158972788</c:v>
                </c:pt>
                <c:pt idx="225">
                  <c:v>79.420443952221135</c:v>
                </c:pt>
                <c:pt idx="226">
                  <c:v>79.159902354133919</c:v>
                </c:pt>
                <c:pt idx="227">
                  <c:v>78.893685369864372</c:v>
                </c:pt>
                <c:pt idx="228">
                  <c:v>78.62165956289499</c:v>
                </c:pt>
                <c:pt idx="229">
                  <c:v>78.343689040813459</c:v>
                </c:pt>
                <c:pt idx="230">
                  <c:v>78.059635444198094</c:v>
                </c:pt>
                <c:pt idx="231">
                  <c:v>77.769357938938654</c:v>
                </c:pt>
                <c:pt idx="232">
                  <c:v>77.472713212341432</c:v>
                </c:pt>
                <c:pt idx="233">
                  <c:v>77.169555473383113</c:v>
                </c:pt>
                <c:pt idx="234">
                  <c:v>76.859736457492431</c:v>
                </c:pt>
                <c:pt idx="235">
                  <c:v>76.543105436256397</c:v>
                </c:pt>
                <c:pt idx="236">
                  <c:v>76.219509232463437</c:v>
                </c:pt>
                <c:pt idx="237">
                  <c:v>75.888792240907492</c:v>
                </c:pt>
                <c:pt idx="238">
                  <c:v>75.550796455395073</c:v>
                </c:pt>
                <c:pt idx="239">
                  <c:v>75.205361502403733</c:v>
                </c:pt>
                <c:pt idx="240">
                  <c:v>74.852324681859614</c:v>
                </c:pt>
                <c:pt idx="241">
                  <c:v>74.491521015498307</c:v>
                </c:pt>
                <c:pt idx="242">
                  <c:v>74.122783303294455</c:v>
                </c:pt>
                <c:pt idx="243">
                  <c:v>73.745942188442811</c:v>
                </c:pt>
                <c:pt idx="244">
                  <c:v>73.360826231372883</c:v>
                </c:pt>
                <c:pt idx="245">
                  <c:v>72.967261993293931</c:v>
                </c:pt>
                <c:pt idx="246">
                  <c:v>72.565074129748425</c:v>
                </c:pt>
                <c:pt idx="247">
                  <c:v>72.154085494660166</c:v>
                </c:pt>
                <c:pt idx="248">
                  <c:v>71.73411725535081</c:v>
                </c:pt>
                <c:pt idx="249">
                  <c:v>71.30498901898757</c:v>
                </c:pt>
                <c:pt idx="250">
                  <c:v>70.866518970919302</c:v>
                </c:pt>
                <c:pt idx="251">
                  <c:v>70.418524025331763</c:v>
                </c:pt>
                <c:pt idx="252">
                  <c:v>69.960819988647614</c:v>
                </c:pt>
                <c:pt idx="253">
                  <c:v>69.493221736064797</c:v>
                </c:pt>
                <c:pt idx="254">
                  <c:v>69.015543401614082</c:v>
                </c:pt>
                <c:pt idx="255">
                  <c:v>68.527598582082561</c:v>
                </c:pt>
                <c:pt idx="256">
                  <c:v>68.029200555131624</c:v>
                </c:pt>
                <c:pt idx="257">
                  <c:v>67.520162511899642</c:v>
                </c:pt>
                <c:pt idx="258">
                  <c:v>67.000297804356748</c:v>
                </c:pt>
                <c:pt idx="259">
                  <c:v>66.469420207640368</c:v>
                </c:pt>
                <c:pt idx="260">
                  <c:v>65.927344197570349</c:v>
                </c:pt>
                <c:pt idx="261">
                  <c:v>65.373885243502798</c:v>
                </c:pt>
                <c:pt idx="262">
                  <c:v>64.808860116646414</c:v>
                </c:pt>
                <c:pt idx="263">
                  <c:v>64.232087213928182</c:v>
                </c:pt>
                <c:pt idx="264">
                  <c:v>63.643386897446533</c:v>
                </c:pt>
                <c:pt idx="265">
                  <c:v>63.042581849516942</c:v>
                </c:pt>
                <c:pt idx="266">
                  <c:v>62.429497443260679</c:v>
                </c:pt>
                <c:pt idx="267">
                  <c:v>61.803962128644152</c:v>
                </c:pt>
                <c:pt idx="268">
                  <c:v>61.165807833820537</c:v>
                </c:pt>
                <c:pt idx="269">
                  <c:v>60.514870381570745</c:v>
                </c:pt>
                <c:pt idx="270">
                  <c:v>59.85098992057808</c:v>
                </c:pt>
                <c:pt idx="271">
                  <c:v>59.174011371205545</c:v>
                </c:pt>
                <c:pt idx="272">
                  <c:v>58.483784885369609</c:v>
                </c:pt>
                <c:pt idx="273">
                  <c:v>57.780166320022602</c:v>
                </c:pt>
                <c:pt idx="274">
                  <c:v>57.063017723669311</c:v>
                </c:pt>
                <c:pt idx="275">
                  <c:v>56.332207835246749</c:v>
                </c:pt>
                <c:pt idx="276">
                  <c:v>55.587612594584449</c:v>
                </c:pt>
                <c:pt idx="277">
                  <c:v>54.82911566355628</c:v>
                </c:pt>
                <c:pt idx="278">
                  <c:v>54.056608956893982</c:v>
                </c:pt>
                <c:pt idx="279">
                  <c:v>53.269993181520924</c:v>
                </c:pt>
                <c:pt idx="280">
                  <c:v>52.469178383094331</c:v>
                </c:pt>
                <c:pt idx="281">
                  <c:v>51.65408449831267</c:v>
                </c:pt>
                <c:pt idx="282">
                  <c:v>50.824641911375586</c:v>
                </c:pt>
                <c:pt idx="283">
                  <c:v>49.980792012819833</c:v>
                </c:pt>
                <c:pt idx="284">
                  <c:v>49.122487758782007</c:v>
                </c:pt>
                <c:pt idx="285">
                  <c:v>48.249694228574427</c:v>
                </c:pt>
                <c:pt idx="286">
                  <c:v>47.362389178280836</c:v>
                </c:pt>
                <c:pt idx="287">
                  <c:v>46.460563587907707</c:v>
                </c:pt>
                <c:pt idx="288">
                  <c:v>45.544222199477623</c:v>
                </c:pt>
                <c:pt idx="289">
                  <c:v>44.613384043273442</c:v>
                </c:pt>
                <c:pt idx="290">
                  <c:v>43.668082949322446</c:v>
                </c:pt>
                <c:pt idx="291">
                  <c:v>42.708368041071594</c:v>
                </c:pt>
                <c:pt idx="292">
                  <c:v>41.734304208093079</c:v>
                </c:pt>
                <c:pt idx="293">
                  <c:v>40.745972554590395</c:v>
                </c:pt>
                <c:pt idx="294">
                  <c:v>39.743470820396162</c:v>
                </c:pt>
                <c:pt idx="295">
                  <c:v>38.726913771140943</c:v>
                </c:pt>
                <c:pt idx="296">
                  <c:v>37.696433554260096</c:v>
                </c:pt>
                <c:pt idx="297">
                  <c:v>36.652180017546918</c:v>
                </c:pt>
                <c:pt idx="298">
                  <c:v>35.594320987026499</c:v>
                </c:pt>
                <c:pt idx="299">
                  <c:v>34.523042501034666</c:v>
                </c:pt>
                <c:pt idx="300">
                  <c:v>33.438548997524911</c:v>
                </c:pt>
                <c:pt idx="301">
                  <c:v>32.341063451808715</c:v>
                </c:pt>
                <c:pt idx="302">
                  <c:v>31.230827462147769</c:v>
                </c:pt>
                <c:pt idx="303">
                  <c:v>30.108101280868805</c:v>
                </c:pt>
                <c:pt idx="304">
                  <c:v>28.973163788946938</c:v>
                </c:pt>
                <c:pt idx="305">
                  <c:v>27.826312412316771</c:v>
                </c:pt>
                <c:pt idx="306">
                  <c:v>26.667862978503873</c:v>
                </c:pt>
                <c:pt idx="307">
                  <c:v>25.498149512518797</c:v>
                </c:pt>
                <c:pt idx="308">
                  <c:v>24.317523971329752</c:v>
                </c:pt>
                <c:pt idx="309">
                  <c:v>23.126355916611011</c:v>
                </c:pt>
                <c:pt idx="310">
                  <c:v>21.925032125841124</c:v>
                </c:pt>
                <c:pt idx="311">
                  <c:v>20.713956142223225</c:v>
                </c:pt>
                <c:pt idx="312">
                  <c:v>19.493547764264196</c:v>
                </c:pt>
                <c:pt idx="313">
                  <c:v>18.264242476234291</c:v>
                </c:pt>
                <c:pt idx="314">
                  <c:v>17.026490821070603</c:v>
                </c:pt>
                <c:pt idx="315">
                  <c:v>15.780757717631236</c:v>
                </c:pt>
                <c:pt idx="316">
                  <c:v>14.527521724514809</c:v>
                </c:pt>
                <c:pt idx="317">
                  <c:v>13.267274252954374</c:v>
                </c:pt>
                <c:pt idx="318">
                  <c:v>12.000518731544387</c:v>
                </c:pt>
                <c:pt idx="319">
                  <c:v>10.727769725807818</c:v>
                </c:pt>
                <c:pt idx="320">
                  <c:v>9.4495520157938593</c:v>
                </c:pt>
                <c:pt idx="321">
                  <c:v>8.1663996350980188</c:v>
                </c:pt>
                <c:pt idx="322">
                  <c:v>6.8788548748184555</c:v>
                </c:pt>
                <c:pt idx="323">
                  <c:v>5.5874672561083321</c:v>
                </c:pt>
                <c:pt idx="324">
                  <c:v>4.2927924750705806</c:v>
                </c:pt>
                <c:pt idx="325">
                  <c:v>2.9953913238313388</c:v>
                </c:pt>
                <c:pt idx="326">
                  <c:v>1.6958285916917228</c:v>
                </c:pt>
                <c:pt idx="327">
                  <c:v>0.39467195029137719</c:v>
                </c:pt>
                <c:pt idx="328">
                  <c:v>-0.90750917322190949</c:v>
                </c:pt>
                <c:pt idx="329">
                  <c:v>-2.2101447310228219</c:v>
                </c:pt>
                <c:pt idx="330">
                  <c:v>-3.5126651934027007</c:v>
                </c:pt>
                <c:pt idx="331">
                  <c:v>-4.8145026875032313</c:v>
                </c:pt>
                <c:pt idx="332">
                  <c:v>-6.1150921319425224</c:v>
                </c:pt>
                <c:pt idx="333">
                  <c:v>-7.4138723633054049</c:v>
                </c:pt>
                <c:pt idx="334">
                  <c:v>-8.7102872504644733</c:v>
                </c:pt>
                <c:pt idx="335">
                  <c:v>-10.003786792730322</c:v>
                </c:pt>
                <c:pt idx="336">
                  <c:v>-11.293828197844356</c:v>
                </c:pt>
                <c:pt idx="337">
                  <c:v>-12.579876935890448</c:v>
                </c:pt>
                <c:pt idx="338">
                  <c:v>-13.861407765232725</c:v>
                </c:pt>
                <c:pt idx="339">
                  <c:v>-15.137905726683011</c:v>
                </c:pt>
                <c:pt idx="340">
                  <c:v>-16.408867102186768</c:v>
                </c:pt>
                <c:pt idx="341">
                  <c:v>-17.673800334445737</c:v>
                </c:pt>
                <c:pt idx="342">
                  <c:v>-18.932226904030266</c:v>
                </c:pt>
                <c:pt idx="343">
                  <c:v>-20.183682160710596</c:v>
                </c:pt>
                <c:pt idx="344">
                  <c:v>-21.427716105954204</c:v>
                </c:pt>
                <c:pt idx="345">
                  <c:v>-22.663894123738288</c:v>
                </c:pt>
                <c:pt idx="346">
                  <c:v>-23.891797657118069</c:v>
                </c:pt>
                <c:pt idx="347">
                  <c:v>-25.111024828254642</c:v>
                </c:pt>
                <c:pt idx="348">
                  <c:v>-26.321190999940725</c:v>
                </c:pt>
                <c:pt idx="349">
                  <c:v>-27.52192927698837</c:v>
                </c:pt>
                <c:pt idx="350">
                  <c:v>-28.712890946200371</c:v>
                </c:pt>
                <c:pt idx="351">
                  <c:v>-29.893745854031739</c:v>
                </c:pt>
                <c:pt idx="352">
                  <c:v>-31.064182721421702</c:v>
                </c:pt>
                <c:pt idx="353">
                  <c:v>-32.223909395671321</c:v>
                </c:pt>
                <c:pt idx="354">
                  <c:v>-33.372653039644064</c:v>
                </c:pt>
                <c:pt idx="355">
                  <c:v>-34.510160258934484</c:v>
                </c:pt>
                <c:pt idx="356">
                  <c:v>-35.63619716806226</c:v>
                </c:pt>
                <c:pt idx="357">
                  <c:v>-36.750549397078913</c:v>
                </c:pt>
                <c:pt idx="358">
                  <c:v>-37.853022040353871</c:v>
                </c:pt>
                <c:pt idx="359">
                  <c:v>-38.943439549606353</c:v>
                </c:pt>
                <c:pt idx="360">
                  <c:v>-40.021645573563156</c:v>
                </c:pt>
                <c:pt idx="361">
                  <c:v>-41.087502746879849</c:v>
                </c:pt>
                <c:pt idx="362">
                  <c:v>-42.140892431201173</c:v>
                </c:pt>
                <c:pt idx="363">
                  <c:v>-43.181714411437937</c:v>
                </c:pt>
                <c:pt idx="364">
                  <c:v>-44.209886550496194</c:v>
                </c:pt>
                <c:pt idx="365">
                  <c:v>-45.225344405828665</c:v>
                </c:pt>
                <c:pt idx="366">
                  <c:v>-46.228040811271221</c:v>
                </c:pt>
                <c:pt idx="367">
                  <c:v>-47.217945427673307</c:v>
                </c:pt>
                <c:pt idx="368">
                  <c:v>-48.19504426586834</c:v>
                </c:pt>
                <c:pt idx="369">
                  <c:v>-49.15933918551125</c:v>
                </c:pt>
                <c:pt idx="370">
                  <c:v>-50.110847373267859</c:v>
                </c:pt>
                <c:pt idx="371">
                  <c:v>-51.049600803784323</c:v>
                </c:pt>
                <c:pt idx="372">
                  <c:v>-51.975645686757289</c:v>
                </c:pt>
                <c:pt idx="373">
                  <c:v>-52.889041903319644</c:v>
                </c:pt>
                <c:pt idx="374">
                  <c:v>-53.789862434818772</c:v>
                </c:pt>
                <c:pt idx="375">
                  <c:v>-54.678192786908809</c:v>
                </c:pt>
                <c:pt idx="376">
                  <c:v>-55.554130411720415</c:v>
                </c:pt>
                <c:pt idx="377">
                  <c:v>-56.417784130690798</c:v>
                </c:pt>
                <c:pt idx="378">
                  <c:v>-57.269273560454771</c:v>
                </c:pt>
                <c:pt idx="379">
                  <c:v>-58.108728544006112</c:v>
                </c:pt>
                <c:pt idx="380">
                  <c:v>-58.936288589156383</c:v>
                </c:pt>
                <c:pt idx="381">
                  <c:v>-59.75210231611392</c:v>
                </c:pt>
                <c:pt idx="382">
                  <c:v>-60.556326915822538</c:v>
                </c:pt>
                <c:pt idx="383">
                  <c:v>-61.349127620514814</c:v>
                </c:pt>
                <c:pt idx="384">
                  <c:v>-62.130677187742947</c:v>
                </c:pt>
                <c:pt idx="385">
                  <c:v>-62.901155398983441</c:v>
                </c:pt>
                <c:pt idx="386">
                  <c:v>-63.660748573737628</c:v>
                </c:pt>
                <c:pt idx="387">
                  <c:v>-64.409649099889521</c:v>
                </c:pt>
                <c:pt idx="388">
                  <c:v>-65.148054980931633</c:v>
                </c:pt>
                <c:pt idx="389">
                  <c:v>-65.876169400524532</c:v>
                </c:pt>
                <c:pt idx="390">
                  <c:v>-66.594200304722463</c:v>
                </c:pt>
                <c:pt idx="391">
                  <c:v>-67.302360002076526</c:v>
                </c:pt>
                <c:pt idx="392">
                  <c:v>-68.000864781706611</c:v>
                </c:pt>
                <c:pt idx="393">
                  <c:v>-68.689934549334851</c:v>
                </c:pt>
                <c:pt idx="394">
                  <c:v>-69.369792481175807</c:v>
                </c:pt>
                <c:pt idx="395">
                  <c:v>-70.04066469549106</c:v>
                </c:pt>
                <c:pt idx="396">
                  <c:v>-70.702779941542204</c:v>
                </c:pt>
                <c:pt idx="397">
                  <c:v>-71.356369305605284</c:v>
                </c:pt>
                <c:pt idx="398">
                  <c:v>-72.001665933649264</c:v>
                </c:pt>
                <c:pt idx="399">
                  <c:v>-72.638904770230369</c:v>
                </c:pt>
                <c:pt idx="400">
                  <c:v>-73.268322313104164</c:v>
                </c:pt>
                <c:pt idx="401">
                  <c:v>-73.890156383021349</c:v>
                </c:pt>
                <c:pt idx="402">
                  <c:v>-74.504645908137746</c:v>
                </c:pt>
                <c:pt idx="403">
                  <c:v>-75.112030722441659</c:v>
                </c:pt>
                <c:pt idx="404">
                  <c:v>-75.712551377577881</c:v>
                </c:pt>
                <c:pt idx="405">
                  <c:v>-76.306448967429844</c:v>
                </c:pt>
                <c:pt idx="406">
                  <c:v>-76.893964964807338</c:v>
                </c:pt>
                <c:pt idx="407">
                  <c:v>-77.475341069572963</c:v>
                </c:pt>
                <c:pt idx="408">
                  <c:v>-78.050819067538612</c:v>
                </c:pt>
                <c:pt idx="409">
                  <c:v>-78.620640699450718</c:v>
                </c:pt>
                <c:pt idx="410">
                  <c:v>-79.185047539387199</c:v>
                </c:pt>
                <c:pt idx="411">
                  <c:v>-79.744280881882005</c:v>
                </c:pt>
                <c:pt idx="412">
                  <c:v>-80.298581637099119</c:v>
                </c:pt>
                <c:pt idx="413">
                  <c:v>-80.848190233376272</c:v>
                </c:pt>
                <c:pt idx="414">
                  <c:v>-81.393346526464029</c:v>
                </c:pt>
                <c:pt idx="415">
                  <c:v>-81.93428971478906</c:v>
                </c:pt>
                <c:pt idx="416">
                  <c:v>-82.471258260076127</c:v>
                </c:pt>
                <c:pt idx="417">
                  <c:v>-83.004489812666549</c:v>
                </c:pt>
                <c:pt idx="418">
                  <c:v>-83.534221140879069</c:v>
                </c:pt>
                <c:pt idx="419">
                  <c:v>-84.060688063762129</c:v>
                </c:pt>
                <c:pt idx="420">
                  <c:v>-84.584125386593996</c:v>
                </c:pt>
                <c:pt idx="421">
                  <c:v>-85.104766838492679</c:v>
                </c:pt>
                <c:pt idx="422">
                  <c:v>-85.62284501149999</c:v>
                </c:pt>
                <c:pt idx="423">
                  <c:v>-86.138591300516154</c:v>
                </c:pt>
                <c:pt idx="424">
                  <c:v>-86.652235843457547</c:v>
                </c:pt>
                <c:pt idx="425">
                  <c:v>-87.164007461022976</c:v>
                </c:pt>
                <c:pt idx="426">
                  <c:v>-87.6741335954557</c:v>
                </c:pt>
                <c:pt idx="427">
                  <c:v>-88.182840247689313</c:v>
                </c:pt>
                <c:pt idx="428">
                  <c:v>-88.690351912276441</c:v>
                </c:pt>
                <c:pt idx="429">
                  <c:v>-89.196891509503558</c:v>
                </c:pt>
                <c:pt idx="430">
                  <c:v>-89.702680314090514</c:v>
                </c:pt>
                <c:pt idx="431">
                  <c:v>-90.20793787989372</c:v>
                </c:pt>
                <c:pt idx="432">
                  <c:v>-90.712881960022685</c:v>
                </c:pt>
                <c:pt idx="433">
                  <c:v>-91.217728421798398</c:v>
                </c:pt>
                <c:pt idx="434">
                  <c:v>-91.72269115597895</c:v>
                </c:pt>
                <c:pt idx="435">
                  <c:v>-92.227981979692288</c:v>
                </c:pt>
                <c:pt idx="436">
                  <c:v>-92.733810532525212</c:v>
                </c:pt>
                <c:pt idx="437">
                  <c:v>-93.240384165224683</c:v>
                </c:pt>
                <c:pt idx="438">
                  <c:v>-93.747907820485494</c:v>
                </c:pt>
                <c:pt idx="439">
                  <c:v>-94.256583905312041</c:v>
                </c:pt>
                <c:pt idx="440">
                  <c:v>-94.766612154457889</c:v>
                </c:pt>
                <c:pt idx="441">
                  <c:v>-95.278189484472477</c:v>
                </c:pt>
                <c:pt idx="442">
                  <c:v>-95.791509837904613</c:v>
                </c:pt>
                <c:pt idx="443">
                  <c:v>-96.306764017242457</c:v>
                </c:pt>
                <c:pt idx="444">
                  <c:v>-96.824139508202421</c:v>
                </c:pt>
                <c:pt idx="445">
                  <c:v>-97.343820292017924</c:v>
                </c:pt>
                <c:pt idx="446">
                  <c:v>-97.86598664641599</c:v>
                </c:pt>
                <c:pt idx="447">
                  <c:v>-98.390814935026043</c:v>
                </c:pt>
                <c:pt idx="448">
                  <c:v>-98.918477385011187</c:v>
                </c:pt>
                <c:pt idx="449">
                  <c:v>-99.449141852778411</c:v>
                </c:pt>
                <c:pt idx="450">
                  <c:v>-99.982971577689213</c:v>
                </c:pt>
                <c:pt idx="451">
                  <c:v>-100.52012492376446</c:v>
                </c:pt>
                <c:pt idx="452">
                  <c:v>-101.06075510946611</c:v>
                </c:pt>
                <c:pt idx="453">
                  <c:v>-101.60500992572264</c:v>
                </c:pt>
                <c:pt idx="454">
                  <c:v>-102.15303144246286</c:v>
                </c:pt>
                <c:pt idx="455">
                  <c:v>-102.70495570403862</c:v>
                </c:pt>
                <c:pt idx="456">
                  <c:v>-103.26091241401679</c:v>
                </c:pt>
                <c:pt idx="457">
                  <c:v>-103.82102460996018</c:v>
                </c:pt>
                <c:pt idx="458">
                  <c:v>-104.38540832893838</c:v>
                </c:pt>
                <c:pt idx="459">
                  <c:v>-104.95417226465058</c:v>
                </c:pt>
                <c:pt idx="460">
                  <c:v>-105.52741741719424</c:v>
                </c:pt>
                <c:pt idx="461">
                  <c:v>-106.10523673665871</c:v>
                </c:pt>
                <c:pt idx="462">
                  <c:v>-106.68771476189089</c:v>
                </c:pt>
                <c:pt idx="463">
                  <c:v>-107.27492725593879</c:v>
                </c:pt>
                <c:pt idx="464">
                  <c:v>-107.86694083984756</c:v>
                </c:pt>
                <c:pt idx="465">
                  <c:v>-108.46381262665204</c:v>
                </c:pt>
                <c:pt idx="466">
                  <c:v>-109.06558985758167</c:v>
                </c:pt>
                <c:pt idx="467">
                  <c:v>-109.67230954266104</c:v>
                </c:pt>
                <c:pt idx="468">
                  <c:v>-110.28399810804714</c:v>
                </c:pt>
                <c:pt idx="469">
                  <c:v>-110.90067105261581</c:v>
                </c:pt>
                <c:pt idx="470">
                  <c:v>-111.52233261644136</c:v>
                </c:pt>
                <c:pt idx="471">
                  <c:v>-112.14897546396134</c:v>
                </c:pt>
                <c:pt idx="472">
                  <c:v>-112.78058038473313</c:v>
                </c:pt>
                <c:pt idx="473">
                  <c:v>-113.41711601479533</c:v>
                </c:pt>
                <c:pt idx="474">
                  <c:v>-114.05853858171913</c:v>
                </c:pt>
                <c:pt idx="475">
                  <c:v>-114.7047916765034</c:v>
                </c:pt>
                <c:pt idx="476">
                  <c:v>-115.35580605547605</c:v>
                </c:pt>
                <c:pt idx="477">
                  <c:v>-116.01149947537965</c:v>
                </c:pt>
                <c:pt idx="478">
                  <c:v>-116.67177656476028</c:v>
                </c:pt>
                <c:pt idx="479">
                  <c:v>-117.33652873471372</c:v>
                </c:pt>
                <c:pt idx="480">
                  <c:v>-118.00563413192684</c:v>
                </c:pt>
                <c:pt idx="481">
                  <c:v>-118.67895763678419</c:v>
                </c:pt>
                <c:pt idx="482">
                  <c:v>-119.35635090912133</c:v>
                </c:pt>
                <c:pt idx="483">
                  <c:v>-120.03765248395477</c:v>
                </c:pt>
                <c:pt idx="484">
                  <c:v>-120.72268791923028</c:v>
                </c:pt>
                <c:pt idx="485">
                  <c:v>-121.4112699973108</c:v>
                </c:pt>
                <c:pt idx="486">
                  <c:v>-122.1031989815384</c:v>
                </c:pt>
                <c:pt idx="487">
                  <c:v>-122.79826292881722</c:v>
                </c:pt>
                <c:pt idx="488">
                  <c:v>-123.49623805869675</c:v>
                </c:pt>
                <c:pt idx="489">
                  <c:v>-124.19688917898424</c:v>
                </c:pt>
                <c:pt idx="490">
                  <c:v>-124.89997016740094</c:v>
                </c:pt>
                <c:pt idx="491">
                  <c:v>-125.60522450828434</c:v>
                </c:pt>
                <c:pt idx="492">
                  <c:v>-126.31238588281529</c:v>
                </c:pt>
                <c:pt idx="493">
                  <c:v>-127.02117881070457</c:v>
                </c:pt>
                <c:pt idx="494">
                  <c:v>-127.73131934075224</c:v>
                </c:pt>
                <c:pt idx="495">
                  <c:v>-128.44251578717055</c:v>
                </c:pt>
                <c:pt idx="496">
                  <c:v>-129.15446950806751</c:v>
                </c:pt>
                <c:pt idx="497">
                  <c:v>-129.86687572201021</c:v>
                </c:pt>
                <c:pt idx="498">
                  <c:v>-130.57942435816307</c:v>
                </c:pt>
                <c:pt idx="499">
                  <c:v>-131.29180093510712</c:v>
                </c:pt>
                <c:pt idx="500">
                  <c:v>-132.00368746309954</c:v>
                </c:pt>
                <c:pt idx="501">
                  <c:v>-132.71476336426858</c:v>
                </c:pt>
                <c:pt idx="502">
                  <c:v>-133.42470640500852</c:v>
                </c:pt>
                <c:pt idx="503">
                  <c:v>-134.13319363470345</c:v>
                </c:pt>
                <c:pt idx="504">
                  <c:v>-134.83990232481406</c:v>
                </c:pt>
                <c:pt idx="505">
                  <c:v>-135.54451090236935</c:v>
                </c:pt>
                <c:pt idx="506">
                  <c:v>-136.24669987195989</c:v>
                </c:pt>
                <c:pt idx="507">
                  <c:v>-136.94615272045903</c:v>
                </c:pt>
                <c:pt idx="508">
                  <c:v>-137.64255679891482</c:v>
                </c:pt>
                <c:pt idx="509">
                  <c:v>-138.33560417630619</c:v>
                </c:pt>
                <c:pt idx="510">
                  <c:v>-139.02499246018951</c:v>
                </c:pt>
                <c:pt idx="511">
                  <c:v>-139.71042557963585</c:v>
                </c:pt>
                <c:pt idx="512">
                  <c:v>-140.39161452628625</c:v>
                </c:pt>
                <c:pt idx="513">
                  <c:v>-141.06827804981407</c:v>
                </c:pt>
                <c:pt idx="514">
                  <c:v>-141.74014330456495</c:v>
                </c:pt>
                <c:pt idx="515">
                  <c:v>-142.40694644468246</c:v>
                </c:pt>
                <c:pt idx="516">
                  <c:v>-143.06843316553068</c:v>
                </c:pt>
                <c:pt idx="517">
                  <c:v>-143.72435918977544</c:v>
                </c:pt>
                <c:pt idx="518">
                  <c:v>-144.3744906970087</c:v>
                </c:pt>
                <c:pt idx="519">
                  <c:v>-145.01860469632643</c:v>
                </c:pt>
                <c:pt idx="520">
                  <c:v>-145.65648934176588</c:v>
                </c:pt>
                <c:pt idx="521">
                  <c:v>-146.28794419099896</c:v>
                </c:pt>
                <c:pt idx="522">
                  <c:v>-146.91278040811426</c:v>
                </c:pt>
                <c:pt idx="523">
                  <c:v>-147.53082091175517</c:v>
                </c:pt>
                <c:pt idx="524">
                  <c:v>-148.14190047024439</c:v>
                </c:pt>
                <c:pt idx="525">
                  <c:v>-148.74586574567343</c:v>
                </c:pt>
                <c:pt idx="526">
                  <c:v>-149.34257528923385</c:v>
                </c:pt>
                <c:pt idx="527">
                  <c:v>-149.93189949031532</c:v>
                </c:pt>
                <c:pt idx="528">
                  <c:v>-150.51372048210874</c:v>
                </c:pt>
                <c:pt idx="529">
                  <c:v>-151.08793200662726</c:v>
                </c:pt>
                <c:pt idx="530">
                  <c:v>-151.65443924216646</c:v>
                </c:pt>
                <c:pt idx="531">
                  <c:v>-152.21315859633449</c:v>
                </c:pt>
                <c:pt idx="532">
                  <c:v>-152.76401746781048</c:v>
                </c:pt>
                <c:pt idx="533">
                  <c:v>-153.30695398001396</c:v>
                </c:pt>
                <c:pt idx="534">
                  <c:v>-153.84191668984781</c:v>
                </c:pt>
                <c:pt idx="535">
                  <c:v>-154.36886427462298</c:v>
                </c:pt>
                <c:pt idx="536">
                  <c:v>-154.88776520020636</c:v>
                </c:pt>
                <c:pt idx="537">
                  <c:v>-155.39859737333518</c:v>
                </c:pt>
                <c:pt idx="538">
                  <c:v>-155.90134778091846</c:v>
                </c:pt>
                <c:pt idx="539">
                  <c:v>-156.39601211902809</c:v>
                </c:pt>
                <c:pt idx="540">
                  <c:v>-156.88259441412077</c:v>
                </c:pt>
                <c:pt idx="541">
                  <c:v>-157.3611066388963</c:v>
                </c:pt>
              </c:numCache>
            </c:numRef>
          </c:yVal>
          <c:smooth val="1"/>
          <c:extLst>
            <c:ext xmlns:c16="http://schemas.microsoft.com/office/drawing/2014/chart" uri="{C3380CC4-5D6E-409C-BE32-E72D297353CC}">
              <c16:uniqueId val="{00000001-08A4-45AE-BD5A-C2D048D75805}"/>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[1]Eff_vs_IOUT!$AW$7:$AW$157</c:f>
              <c:numCache>
                <c:formatCode>General</c:formatCode>
                <c:ptCount val="151"/>
                <c:pt idx="0">
                  <c:v>0</c:v>
                </c:pt>
                <c:pt idx="1">
                  <c:v>72.074743546197936</c:v>
                </c:pt>
                <c:pt idx="2">
                  <c:v>83.278946320422875</c:v>
                </c:pt>
                <c:pt idx="3">
                  <c:v>87.823398093854962</c:v>
                </c:pt>
                <c:pt idx="4">
                  <c:v>90.281532425115813</c:v>
                </c:pt>
                <c:pt idx="5">
                  <c:v>91.819206893500748</c:v>
                </c:pt>
                <c:pt idx="6">
                  <c:v>92.870019459561121</c:v>
                </c:pt>
                <c:pt idx="7">
                  <c:v>93.632190379295068</c:v>
                </c:pt>
                <c:pt idx="8">
                  <c:v>94.209194553124718</c:v>
                </c:pt>
                <c:pt idx="9">
                  <c:v>94.660327183697774</c:v>
                </c:pt>
                <c:pt idx="10">
                  <c:v>95.022008446023904</c:v>
                </c:pt>
                <c:pt idx="11">
                  <c:v>95.317844151427352</c:v>
                </c:pt>
                <c:pt idx="12">
                  <c:v>95.563805969178546</c:v>
                </c:pt>
                <c:pt idx="13">
                  <c:v>95.771086688792309</c:v>
                </c:pt>
                <c:pt idx="14">
                  <c:v>95.947763185503092</c:v>
                </c:pt>
                <c:pt idx="15">
                  <c:v>96.099810151145334</c:v>
                </c:pt>
                <c:pt idx="16">
                  <c:v>96.231742235239238</c:v>
                </c:pt>
                <c:pt idx="17">
                  <c:v>96.347034357137446</c:v>
                </c:pt>
                <c:pt idx="18">
                  <c:v>96.448404725179344</c:v>
                </c:pt>
                <c:pt idx="19">
                  <c:v>96.538010182006872</c:v>
                </c:pt>
                <c:pt idx="20">
                  <c:v>96.617584006656713</c:v>
                </c:pt>
                <c:pt idx="21">
                  <c:v>96.688535023683485</c:v>
                </c:pt>
                <c:pt idx="22">
                  <c:v>96.752020127868875</c:v>
                </c:pt>
                <c:pt idx="23">
                  <c:v>96.808998187822311</c:v>
                </c:pt>
                <c:pt idx="24">
                  <c:v>96.860270677489993</c:v>
                </c:pt>
                <c:pt idx="25">
                  <c:v>96.906512697769813</c:v>
                </c:pt>
                <c:pt idx="26">
                  <c:v>96.948296939349646</c:v>
                </c:pt>
                <c:pt idx="27">
                  <c:v>96.986112392178498</c:v>
                </c:pt>
                <c:pt idx="28">
                  <c:v>97.020379097850068</c:v>
                </c:pt>
                <c:pt idx="29">
                  <c:v>97.051459888071491</c:v>
                </c:pt>
                <c:pt idx="30">
                  <c:v>97.079669803929562</c:v>
                </c:pt>
                <c:pt idx="31">
                  <c:v>97.10528371349254</c:v>
                </c:pt>
                <c:pt idx="32">
                  <c:v>97.1285425173742</c:v>
                </c:pt>
                <c:pt idx="33">
                  <c:v>97.149658238475084</c:v>
                </c:pt>
                <c:pt idx="34">
                  <c:v>97.168818223165886</c:v>
                </c:pt>
                <c:pt idx="35">
                  <c:v>97.18618862977246</c:v>
                </c:pt>
                <c:pt idx="36">
                  <c:v>97.201917341538817</c:v>
                </c:pt>
                <c:pt idx="37">
                  <c:v>97.216136411876164</c:v>
                </c:pt>
                <c:pt idx="38">
                  <c:v>97.228964127228892</c:v>
                </c:pt>
                <c:pt idx="39">
                  <c:v>97.240506755547358</c:v>
                </c:pt>
                <c:pt idx="40">
                  <c:v>97.250860034884298</c:v>
                </c:pt>
                <c:pt idx="41">
                  <c:v>97.260110446088532</c:v>
                </c:pt>
                <c:pt idx="42">
                  <c:v>97.268336305266828</c:v>
                </c:pt>
                <c:pt idx="43">
                  <c:v>97.275608705104659</c:v>
                </c:pt>
                <c:pt idx="44">
                  <c:v>97.281992328891221</c:v>
                </c:pt>
                <c:pt idx="45">
                  <c:v>97.287546156889562</c:v>
                </c:pt>
                <c:pt idx="46">
                  <c:v>97.29232408130369</c:v>
                </c:pt>
                <c:pt idx="47">
                  <c:v>97.296375443350129</c:v>
                </c:pt>
                <c:pt idx="48">
                  <c:v>97.299745503707015</c:v>
                </c:pt>
                <c:pt idx="49">
                  <c:v>97.302475855787279</c:v>
                </c:pt>
                <c:pt idx="50">
                  <c:v>97.304604789781806</c:v>
                </c:pt>
                <c:pt idx="51">
                  <c:v>97.306167614181433</c:v>
                </c:pt>
                <c:pt idx="52">
                  <c:v>97.30719694046121</c:v>
                </c:pt>
                <c:pt idx="53">
                  <c:v>97.307722935758818</c:v>
                </c:pt>
                <c:pt idx="54">
                  <c:v>97.307773547667992</c:v>
                </c:pt>
                <c:pt idx="55">
                  <c:v>97.307374704672227</c:v>
                </c:pt>
                <c:pt idx="56">
                  <c:v>97.306550495243812</c:v>
                </c:pt>
                <c:pt idx="57">
                  <c:v>97.305323328211514</c:v>
                </c:pt>
                <c:pt idx="58">
                  <c:v>97.303714076643189</c:v>
                </c:pt>
                <c:pt idx="59">
                  <c:v>97.301742207187147</c:v>
                </c:pt>
                <c:pt idx="60">
                  <c:v>97.299425896558276</c:v>
                </c:pt>
                <c:pt idx="61">
                  <c:v>97.296782136635429</c:v>
                </c:pt>
                <c:pt idx="62">
                  <c:v>97.293826829448079</c:v>
                </c:pt>
                <c:pt idx="63">
                  <c:v>97.290574873169362</c:v>
                </c:pt>
                <c:pt idx="64">
                  <c:v>97.287040240093262</c:v>
                </c:pt>
                <c:pt idx="65">
                  <c:v>97.283236047454679</c:v>
                </c:pt>
                <c:pt idx="66">
                  <c:v>97.279174621846934</c:v>
                </c:pt>
                <c:pt idx="67">
                  <c:v>97.274867557902127</c:v>
                </c:pt>
                <c:pt idx="68">
                  <c:v>97.270325771821732</c:v>
                </c:pt>
                <c:pt idx="69">
                  <c:v>97.265559550277132</c:v>
                </c:pt>
                <c:pt idx="70">
                  <c:v>97.260578595140458</c:v>
                </c:pt>
                <c:pt idx="71">
                  <c:v>97.255392064455208</c:v>
                </c:pt>
                <c:pt idx="72">
                  <c:v>97.250008610009715</c:v>
                </c:pt>
                <c:pt idx="73">
                  <c:v>97.244436411838009</c:v>
                </c:pt>
                <c:pt idx="74">
                  <c:v>97.238683209937207</c:v>
                </c:pt>
                <c:pt idx="75">
                  <c:v>97.232756333459918</c:v>
                </c:pt>
                <c:pt idx="76">
                  <c:v>97.226662727613117</c:v>
                </c:pt>
                <c:pt idx="77">
                  <c:v>97.220408978470843</c:v>
                </c:pt>
                <c:pt idx="78">
                  <c:v>97.214001335887403</c:v>
                </c:pt>
                <c:pt idx="79">
                  <c:v>97.20744573467833</c:v>
                </c:pt>
                <c:pt idx="80">
                  <c:v>97.200747814220009</c:v>
                </c:pt>
                <c:pt idx="81">
                  <c:v>97.19391293660415</c:v>
                </c:pt>
                <c:pt idx="82">
                  <c:v>97.186946203469688</c:v>
                </c:pt>
                <c:pt idx="83">
                  <c:v>97.179852471623491</c:v>
                </c:pt>
                <c:pt idx="84">
                  <c:v>97.172636367549998</c:v>
                </c:pt>
                <c:pt idx="85">
                  <c:v>97.165302300901175</c:v>
                </c:pt>
                <c:pt idx="86">
                  <c:v>97.157854477049284</c:v>
                </c:pt>
                <c:pt idx="87">
                  <c:v>97.150296908777591</c:v>
                </c:pt>
                <c:pt idx="88">
                  <c:v>97.142633427177358</c:v>
                </c:pt>
                <c:pt idx="89">
                  <c:v>97.13486769181317</c:v>
                </c:pt>
                <c:pt idx="90">
                  <c:v>97.127003200213366</c:v>
                </c:pt>
                <c:pt idx="91">
                  <c:v>97.119043296737274</c:v>
                </c:pt>
                <c:pt idx="92">
                  <c:v>97.110991180866407</c:v>
                </c:pt>
                <c:pt idx="93">
                  <c:v>97.102849914962846</c:v>
                </c:pt>
                <c:pt idx="94">
                  <c:v>97.094622431534489</c:v>
                </c:pt>
                <c:pt idx="95">
                  <c:v>97.086311540042971</c:v>
                </c:pt>
                <c:pt idx="96">
                  <c:v>97.07791993328793</c:v>
                </c:pt>
                <c:pt idx="97">
                  <c:v>97.069450193397714</c:v>
                </c:pt>
                <c:pt idx="98">
                  <c:v>97.060904797454839</c:v>
                </c:pt>
                <c:pt idx="99">
                  <c:v>97.052286122781609</c:v>
                </c:pt>
                <c:pt idx="100">
                  <c:v>97.043596451909877</c:v>
                </c:pt>
                <c:pt idx="101">
                  <c:v>97.034837977256586</c:v>
                </c:pt>
                <c:pt idx="102">
                  <c:v>97.02601280552534</c:v>
                </c:pt>
                <c:pt idx="103">
                  <c:v>97.01712296185238</c:v>
                </c:pt>
                <c:pt idx="104">
                  <c:v>97.008170393714295</c:v>
                </c:pt>
                <c:pt idx="105">
                  <c:v>96.999156974613214</c:v>
                </c:pt>
                <c:pt idx="106">
                  <c:v>96.990084507554101</c:v>
                </c:pt>
                <c:pt idx="107">
                  <c:v>96.980954728327688</c:v>
                </c:pt>
                <c:pt idx="108">
                  <c:v>96.971769308611755</c:v>
                </c:pt>
                <c:pt idx="109">
                  <c:v>96.962529858902172</c:v>
                </c:pt>
                <c:pt idx="110">
                  <c:v>96.953237931284619</c:v>
                </c:pt>
                <c:pt idx="111">
                  <c:v>96.943895022057049</c:v>
                </c:pt>
                <c:pt idx="112">
                  <c:v>96.934502574212033</c:v>
                </c:pt>
                <c:pt idx="113">
                  <c:v>96.925061979787714</c:v>
                </c:pt>
                <c:pt idx="114">
                  <c:v>96.91557458209563</c:v>
                </c:pt>
                <c:pt idx="115">
                  <c:v>96.90604167783232</c:v>
                </c:pt>
                <c:pt idx="116">
                  <c:v>96.896464519082414</c:v>
                </c:pt>
                <c:pt idx="117">
                  <c:v>96.886844315219065</c:v>
                </c:pt>
                <c:pt idx="118">
                  <c:v>96.877182234708187</c:v>
                </c:pt>
                <c:pt idx="119">
                  <c:v>96.867479406821971</c:v>
                </c:pt>
                <c:pt idx="120">
                  <c:v>96.857736923266984</c:v>
                </c:pt>
                <c:pt idx="121">
                  <c:v>96.847955839731725</c:v>
                </c:pt>
                <c:pt idx="122">
                  <c:v>96.838137177358405</c:v>
                </c:pt>
                <c:pt idx="123">
                  <c:v>96.828281924143127</c:v>
                </c:pt>
                <c:pt idx="124">
                  <c:v>96.818391036268366</c:v>
                </c:pt>
                <c:pt idx="125">
                  <c:v>96.808465439371929</c:v>
                </c:pt>
                <c:pt idx="126">
                  <c:v>96.798506029755458</c:v>
                </c:pt>
                <c:pt idx="127">
                  <c:v>96.78851367553608</c:v>
                </c:pt>
                <c:pt idx="128">
                  <c:v>96.778489217744266</c:v>
                </c:pt>
                <c:pt idx="129">
                  <c:v>96.768433471370713</c:v>
                </c:pt>
                <c:pt idx="130">
                  <c:v>96.758347226365046</c:v>
                </c:pt>
                <c:pt idx="131">
                  <c:v>96.748231248588937</c:v>
                </c:pt>
                <c:pt idx="132">
                  <c:v>96.738086280726023</c:v>
                </c:pt>
                <c:pt idx="133">
                  <c:v>96.727913043150849</c:v>
                </c:pt>
                <c:pt idx="134">
                  <c:v>96.717712234759063</c:v>
                </c:pt>
                <c:pt idx="135">
                  <c:v>96.707484533760763</c:v>
                </c:pt>
                <c:pt idx="136">
                  <c:v>96.697230598438992</c:v>
                </c:pt>
                <c:pt idx="137">
                  <c:v>96.686951067875043</c:v>
                </c:pt>
                <c:pt idx="138">
                  <c:v>96.676646562642304</c:v>
                </c:pt>
                <c:pt idx="139">
                  <c:v>96.666317685470432</c:v>
                </c:pt>
                <c:pt idx="140">
                  <c:v>96.655965021880732</c:v>
                </c:pt>
                <c:pt idx="141">
                  <c:v>96.645589140794996</c:v>
                </c:pt>
                <c:pt idx="142">
                  <c:v>96.635190595118459</c:v>
                </c:pt>
                <c:pt idx="143">
                  <c:v>96.624769922298384</c:v>
                </c:pt>
                <c:pt idx="144">
                  <c:v>96.614327644859429</c:v>
                </c:pt>
                <c:pt idx="145">
                  <c:v>96.603864270916958</c:v>
                </c:pt>
                <c:pt idx="146">
                  <c:v>96.593380294669288</c:v>
                </c:pt>
                <c:pt idx="147">
                  <c:v>96.582876196869904</c:v>
                </c:pt>
                <c:pt idx="148">
                  <c:v>96.572352445280515</c:v>
                </c:pt>
                <c:pt idx="149">
                  <c:v>96.561809495106033</c:v>
                </c:pt>
                <c:pt idx="150">
                  <c:v>96.551247789412059</c:v>
                </c:pt>
              </c:numCache>
            </c:numRef>
          </c:yVal>
          <c:smooth val="0"/>
          <c:extLst>
            <c:ext xmlns:c16="http://schemas.microsoft.com/office/drawing/2014/chart" uri="{C3380CC4-5D6E-409C-BE32-E72D297353CC}">
              <c16:uniqueId val="{00000000-8268-4C3F-B748-2F54233BBCCC}"/>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[1]Eff_vs_IOUT!$AI$7:$AI$157</c:f>
              <c:numCache>
                <c:formatCode>General</c:formatCode>
                <c:ptCount val="151"/>
                <c:pt idx="0">
                  <c:v>1.13161834494674E-3</c:v>
                </c:pt>
                <c:pt idx="1">
                  <c:v>5.3029569450771509E-2</c:v>
                </c:pt>
                <c:pt idx="2">
                  <c:v>0.10503205388992962</c:v>
                </c:pt>
                <c:pt idx="3">
                  <c:v>0.15713907166242103</c:v>
                </c:pt>
                <c:pt idx="4">
                  <c:v>0.20935062276824581</c:v>
                </c:pt>
                <c:pt idx="5">
                  <c:v>0.26166670720740393</c:v>
                </c:pt>
                <c:pt idx="6">
                  <c:v>0.31408732497989528</c:v>
                </c:pt>
                <c:pt idx="7">
                  <c:v>0.36661247608572006</c:v>
                </c:pt>
                <c:pt idx="8">
                  <c:v>0.41924216052487823</c:v>
                </c:pt>
                <c:pt idx="9">
                  <c:v>0.4719763782973696</c:v>
                </c:pt>
                <c:pt idx="10">
                  <c:v>0.52481512940319441</c:v>
                </c:pt>
                <c:pt idx="11">
                  <c:v>0.57775841384235238</c:v>
                </c:pt>
                <c:pt idx="12">
                  <c:v>0.63080623161484384</c:v>
                </c:pt>
                <c:pt idx="13">
                  <c:v>0.68395858272066867</c:v>
                </c:pt>
                <c:pt idx="14">
                  <c:v>0.73721546715982667</c:v>
                </c:pt>
                <c:pt idx="15">
                  <c:v>0.79057688493231826</c:v>
                </c:pt>
                <c:pt idx="16">
                  <c:v>0.84404283603814301</c:v>
                </c:pt>
                <c:pt idx="17">
                  <c:v>0.89761332047730091</c:v>
                </c:pt>
                <c:pt idx="18">
                  <c:v>0.95128833824979242</c:v>
                </c:pt>
                <c:pt idx="19">
                  <c:v>1.0050678893556171</c:v>
                </c:pt>
                <c:pt idx="20">
                  <c:v>1.0589519737947755</c:v>
                </c:pt>
                <c:pt idx="21">
                  <c:v>1.112940591567267</c:v>
                </c:pt>
                <c:pt idx="22">
                  <c:v>1.1670337426730912</c:v>
                </c:pt>
                <c:pt idx="23">
                  <c:v>1.2212314271122497</c:v>
                </c:pt>
                <c:pt idx="24">
                  <c:v>1.275533644884741</c:v>
                </c:pt>
                <c:pt idx="25">
                  <c:v>1.3299403959905658</c:v>
                </c:pt>
                <c:pt idx="26">
                  <c:v>1.384451680429724</c:v>
                </c:pt>
                <c:pt idx="27">
                  <c:v>1.4390674982022156</c:v>
                </c:pt>
                <c:pt idx="28">
                  <c:v>1.4937878493080401</c:v>
                </c:pt>
                <c:pt idx="29">
                  <c:v>1.5486127337471982</c:v>
                </c:pt>
                <c:pt idx="30">
                  <c:v>1.6035421515196897</c:v>
                </c:pt>
                <c:pt idx="31">
                  <c:v>1.6585761026255148</c:v>
                </c:pt>
                <c:pt idx="32">
                  <c:v>1.7137145870646726</c:v>
                </c:pt>
                <c:pt idx="33">
                  <c:v>1.768957604837164</c:v>
                </c:pt>
                <c:pt idx="34">
                  <c:v>1.8243051559429886</c:v>
                </c:pt>
                <c:pt idx="35">
                  <c:v>1.8797572403821465</c:v>
                </c:pt>
                <c:pt idx="36">
                  <c:v>1.9353138581546381</c:v>
                </c:pt>
                <c:pt idx="37">
                  <c:v>1.9909750092604632</c:v>
                </c:pt>
                <c:pt idx="38">
                  <c:v>2.0467406936996211</c:v>
                </c:pt>
                <c:pt idx="39">
                  <c:v>2.1026109114721123</c:v>
                </c:pt>
                <c:pt idx="40">
                  <c:v>2.1585856625779374</c:v>
                </c:pt>
                <c:pt idx="41">
                  <c:v>2.2146649470170954</c:v>
                </c:pt>
                <c:pt idx="42">
                  <c:v>2.2708487647895872</c:v>
                </c:pt>
                <c:pt idx="43">
                  <c:v>2.3271371158954119</c:v>
                </c:pt>
                <c:pt idx="44">
                  <c:v>2.3835300003345692</c:v>
                </c:pt>
                <c:pt idx="45">
                  <c:v>2.4400274181070611</c:v>
                </c:pt>
                <c:pt idx="46">
                  <c:v>2.496629369212886</c:v>
                </c:pt>
                <c:pt idx="47">
                  <c:v>2.5533358536520439</c:v>
                </c:pt>
                <c:pt idx="48">
                  <c:v>2.6101468714245351</c:v>
                </c:pt>
                <c:pt idx="49">
                  <c:v>2.6670624225303601</c:v>
                </c:pt>
                <c:pt idx="50">
                  <c:v>2.724082506969518</c:v>
                </c:pt>
                <c:pt idx="51">
                  <c:v>2.7812071247420094</c:v>
                </c:pt>
                <c:pt idx="52">
                  <c:v>2.8384362758478345</c:v>
                </c:pt>
                <c:pt idx="53">
                  <c:v>2.8957699602869931</c:v>
                </c:pt>
                <c:pt idx="54">
                  <c:v>2.9532081780594845</c:v>
                </c:pt>
                <c:pt idx="55">
                  <c:v>3.0107509291653094</c:v>
                </c:pt>
                <c:pt idx="56">
                  <c:v>3.0683982136044667</c:v>
                </c:pt>
                <c:pt idx="57">
                  <c:v>3.1261500313769579</c:v>
                </c:pt>
                <c:pt idx="58">
                  <c:v>3.1840063824827829</c:v>
                </c:pt>
                <c:pt idx="59">
                  <c:v>3.2419672669219408</c:v>
                </c:pt>
                <c:pt idx="60">
                  <c:v>3.3000326846944326</c:v>
                </c:pt>
                <c:pt idx="61">
                  <c:v>3.3582026358002577</c:v>
                </c:pt>
                <c:pt idx="62">
                  <c:v>3.4164771202394162</c:v>
                </c:pt>
                <c:pt idx="63">
                  <c:v>3.4748561380119067</c:v>
                </c:pt>
                <c:pt idx="64">
                  <c:v>3.533339689117732</c:v>
                </c:pt>
                <c:pt idx="65">
                  <c:v>3.5919277735568906</c:v>
                </c:pt>
                <c:pt idx="66">
                  <c:v>3.6506203913293813</c:v>
                </c:pt>
                <c:pt idx="67">
                  <c:v>3.7094175424352063</c:v>
                </c:pt>
                <c:pt idx="68">
                  <c:v>3.7683192268743637</c:v>
                </c:pt>
                <c:pt idx="69">
                  <c:v>3.8273254446468554</c:v>
                </c:pt>
                <c:pt idx="70">
                  <c:v>3.8864361957526796</c:v>
                </c:pt>
                <c:pt idx="71">
                  <c:v>3.9456514801918376</c:v>
                </c:pt>
                <c:pt idx="72">
                  <c:v>4.0049712979643299</c:v>
                </c:pt>
                <c:pt idx="73">
                  <c:v>4.0643956490701543</c:v>
                </c:pt>
                <c:pt idx="74">
                  <c:v>4.1239245335093129</c:v>
                </c:pt>
                <c:pt idx="75">
                  <c:v>4.183557951281804</c:v>
                </c:pt>
                <c:pt idx="76">
                  <c:v>4.2432959023876284</c:v>
                </c:pt>
                <c:pt idx="77">
                  <c:v>4.3031383868267872</c:v>
                </c:pt>
                <c:pt idx="78">
                  <c:v>4.3630854045992784</c:v>
                </c:pt>
                <c:pt idx="79">
                  <c:v>4.4231369557051039</c:v>
                </c:pt>
                <c:pt idx="80">
                  <c:v>4.4832930401442619</c:v>
                </c:pt>
                <c:pt idx="81">
                  <c:v>4.5435536579167533</c:v>
                </c:pt>
                <c:pt idx="82">
                  <c:v>4.6039188090225771</c:v>
                </c:pt>
                <c:pt idx="83">
                  <c:v>4.6643884934617352</c:v>
                </c:pt>
                <c:pt idx="84">
                  <c:v>4.7249627112342276</c:v>
                </c:pt>
                <c:pt idx="85">
                  <c:v>4.7856414623400516</c:v>
                </c:pt>
                <c:pt idx="86">
                  <c:v>4.8464247467792099</c:v>
                </c:pt>
                <c:pt idx="87">
                  <c:v>4.9073125645517015</c:v>
                </c:pt>
                <c:pt idx="88">
                  <c:v>4.9683049156575247</c:v>
                </c:pt>
                <c:pt idx="89">
                  <c:v>5.0294018000966831</c:v>
                </c:pt>
                <c:pt idx="90">
                  <c:v>5.0906032178691749</c:v>
                </c:pt>
                <c:pt idx="91">
                  <c:v>5.151909168975001</c:v>
                </c:pt>
                <c:pt idx="92">
                  <c:v>5.2133196534141586</c:v>
                </c:pt>
                <c:pt idx="93">
                  <c:v>5.2748346711866496</c:v>
                </c:pt>
                <c:pt idx="94">
                  <c:v>5.336454222292474</c:v>
                </c:pt>
                <c:pt idx="95">
                  <c:v>5.3981783067316327</c:v>
                </c:pt>
                <c:pt idx="96">
                  <c:v>5.4600069245041238</c:v>
                </c:pt>
                <c:pt idx="97">
                  <c:v>5.5219400756099501</c:v>
                </c:pt>
                <c:pt idx="98">
                  <c:v>5.5839777600491072</c:v>
                </c:pt>
                <c:pt idx="99">
                  <c:v>5.6461199778215985</c:v>
                </c:pt>
                <c:pt idx="100">
                  <c:v>5.7083667289274231</c:v>
                </c:pt>
                <c:pt idx="101">
                  <c:v>5.7707180133665812</c:v>
                </c:pt>
                <c:pt idx="102">
                  <c:v>5.8331738311390726</c:v>
                </c:pt>
                <c:pt idx="103">
                  <c:v>5.8957341822448974</c:v>
                </c:pt>
                <c:pt idx="104">
                  <c:v>5.9583990666840556</c:v>
                </c:pt>
                <c:pt idx="105">
                  <c:v>6.0211684844565481</c:v>
                </c:pt>
                <c:pt idx="106">
                  <c:v>6.084042435562373</c:v>
                </c:pt>
                <c:pt idx="107">
                  <c:v>6.1470209200015296</c:v>
                </c:pt>
                <c:pt idx="108">
                  <c:v>6.2101039377740221</c:v>
                </c:pt>
                <c:pt idx="109">
                  <c:v>6.2732914888798472</c:v>
                </c:pt>
                <c:pt idx="110">
                  <c:v>6.3365835733190048</c:v>
                </c:pt>
                <c:pt idx="111">
                  <c:v>6.3999801910914957</c:v>
                </c:pt>
                <c:pt idx="112">
                  <c:v>6.4634813421973201</c:v>
                </c:pt>
                <c:pt idx="113">
                  <c:v>6.5270870266364778</c:v>
                </c:pt>
                <c:pt idx="114">
                  <c:v>6.5907972444089697</c:v>
                </c:pt>
                <c:pt idx="115">
                  <c:v>6.6546119955147951</c:v>
                </c:pt>
                <c:pt idx="116">
                  <c:v>6.7185312799539529</c:v>
                </c:pt>
                <c:pt idx="117">
                  <c:v>6.7825550977264433</c:v>
                </c:pt>
                <c:pt idx="118">
                  <c:v>6.8466834488322688</c:v>
                </c:pt>
                <c:pt idx="119">
                  <c:v>6.9109163332714267</c:v>
                </c:pt>
                <c:pt idx="120">
                  <c:v>6.975253751043919</c:v>
                </c:pt>
                <c:pt idx="121">
                  <c:v>7.0396957021497428</c:v>
                </c:pt>
                <c:pt idx="122">
                  <c:v>7.1042421865889018</c:v>
                </c:pt>
                <c:pt idx="123">
                  <c:v>7.1688932043613933</c:v>
                </c:pt>
                <c:pt idx="124">
                  <c:v>7.2336487554672191</c:v>
                </c:pt>
                <c:pt idx="125">
                  <c:v>7.2985088399063773</c:v>
                </c:pt>
                <c:pt idx="126">
                  <c:v>7.3634734576788672</c:v>
                </c:pt>
                <c:pt idx="127">
                  <c:v>7.4285426087846922</c:v>
                </c:pt>
                <c:pt idx="128">
                  <c:v>7.4937162932238506</c:v>
                </c:pt>
                <c:pt idx="129">
                  <c:v>7.5589945109963432</c:v>
                </c:pt>
                <c:pt idx="130">
                  <c:v>7.6243772621021675</c:v>
                </c:pt>
                <c:pt idx="131">
                  <c:v>7.6898645465413242</c:v>
                </c:pt>
                <c:pt idx="132">
                  <c:v>7.7554563643138161</c:v>
                </c:pt>
                <c:pt idx="133">
                  <c:v>7.8211527154196414</c:v>
                </c:pt>
                <c:pt idx="134">
                  <c:v>7.8869535998587992</c:v>
                </c:pt>
                <c:pt idx="135">
                  <c:v>7.9528590176312912</c:v>
                </c:pt>
                <c:pt idx="136">
                  <c:v>8.0188689687371149</c:v>
                </c:pt>
                <c:pt idx="137">
                  <c:v>8.0849834531762728</c:v>
                </c:pt>
                <c:pt idx="138">
                  <c:v>8.151202470948764</c:v>
                </c:pt>
                <c:pt idx="139">
                  <c:v>8.2175260220545887</c:v>
                </c:pt>
                <c:pt idx="140">
                  <c:v>8.283954106493745</c:v>
                </c:pt>
                <c:pt idx="141">
                  <c:v>8.3504867242662382</c:v>
                </c:pt>
                <c:pt idx="142">
                  <c:v>8.4171238753720612</c:v>
                </c:pt>
                <c:pt idx="143">
                  <c:v>8.4838655598112229</c:v>
                </c:pt>
                <c:pt idx="144">
                  <c:v>8.5507117775837127</c:v>
                </c:pt>
                <c:pt idx="145">
                  <c:v>8.6176625286895376</c:v>
                </c:pt>
                <c:pt idx="146">
                  <c:v>8.684717813128696</c:v>
                </c:pt>
                <c:pt idx="147">
                  <c:v>8.7518776309011876</c:v>
                </c:pt>
                <c:pt idx="148">
                  <c:v>8.8191419820070127</c:v>
                </c:pt>
                <c:pt idx="149">
                  <c:v>8.8865108664461712</c:v>
                </c:pt>
                <c:pt idx="150">
                  <c:v>8.9539842842186612</c:v>
                </c:pt>
              </c:numCache>
            </c:numRef>
          </c:yVal>
          <c:smooth val="1"/>
          <c:extLst>
            <c:ext xmlns:c16="http://schemas.microsoft.com/office/drawing/2014/chart" uri="{C3380CC4-5D6E-409C-BE32-E72D297353CC}">
              <c16:uniqueId val="{00000001-8268-4C3F-B748-2F54233BBCCC}"/>
            </c:ext>
          </c:extLst>
        </c:ser>
        <c:ser>
          <c:idx val="2"/>
          <c:order val="2"/>
          <c:tx>
            <c:v>Diode</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[1]Eff_vs_IOUT!$AO$7:$AO$157</c:f>
              <c:numCache>
                <c:formatCode>General</c:formatCode>
                <c:ptCount val="151"/>
                <c:pt idx="0">
                  <c:v>0.63790833399516844</c:v>
                </c:pt>
                <c:pt idx="1">
                  <c:v>0.63990566732850174</c:v>
                </c:pt>
                <c:pt idx="2">
                  <c:v>0.64195526732850172</c:v>
                </c:pt>
                <c:pt idx="3">
                  <c:v>0.6440571339951684</c:v>
                </c:pt>
                <c:pt idx="4">
                  <c:v>0.64621126732850176</c:v>
                </c:pt>
                <c:pt idx="5">
                  <c:v>0.6484176673285017</c:v>
                </c:pt>
                <c:pt idx="6">
                  <c:v>0.65067633399516844</c:v>
                </c:pt>
                <c:pt idx="7">
                  <c:v>0.65298726732850176</c:v>
                </c:pt>
                <c:pt idx="8">
                  <c:v>0.65535046732850177</c:v>
                </c:pt>
                <c:pt idx="9">
                  <c:v>0.65776593399516836</c:v>
                </c:pt>
                <c:pt idx="10">
                  <c:v>0.66023366732850175</c:v>
                </c:pt>
                <c:pt idx="11">
                  <c:v>0.66275366732850172</c:v>
                </c:pt>
                <c:pt idx="12">
                  <c:v>0.66532593399516837</c:v>
                </c:pt>
                <c:pt idx="13">
                  <c:v>0.66795046732850172</c:v>
                </c:pt>
                <c:pt idx="14">
                  <c:v>0.67062726732850175</c:v>
                </c:pt>
                <c:pt idx="15">
                  <c:v>0.67335633399516848</c:v>
                </c:pt>
                <c:pt idx="16">
                  <c:v>0.67613766732850178</c:v>
                </c:pt>
                <c:pt idx="17">
                  <c:v>0.67897126732850177</c:v>
                </c:pt>
                <c:pt idx="18">
                  <c:v>0.68185713399516845</c:v>
                </c:pt>
                <c:pt idx="19">
                  <c:v>0.68479526732850171</c:v>
                </c:pt>
                <c:pt idx="20">
                  <c:v>0.68778566732850177</c:v>
                </c:pt>
                <c:pt idx="21">
                  <c:v>0.69082833399516841</c:v>
                </c:pt>
                <c:pt idx="22">
                  <c:v>0.69392326732850174</c:v>
                </c:pt>
                <c:pt idx="23">
                  <c:v>0.69707046732850175</c:v>
                </c:pt>
                <c:pt idx="24">
                  <c:v>0.70026993399516846</c:v>
                </c:pt>
                <c:pt idx="25">
                  <c:v>0.70352166732850174</c:v>
                </c:pt>
                <c:pt idx="26">
                  <c:v>0.70682566732850183</c:v>
                </c:pt>
                <c:pt idx="27">
                  <c:v>0.71018193399516838</c:v>
                </c:pt>
                <c:pt idx="28">
                  <c:v>0.71359046732850173</c:v>
                </c:pt>
                <c:pt idx="29">
                  <c:v>0.71705126732850177</c:v>
                </c:pt>
                <c:pt idx="30">
                  <c:v>0.72056433399516839</c:v>
                </c:pt>
                <c:pt idx="31">
                  <c:v>0.72412966732850181</c:v>
                </c:pt>
                <c:pt idx="32">
                  <c:v>0.7277472673285017</c:v>
                </c:pt>
                <c:pt idx="33">
                  <c:v>0.7314171339951685</c:v>
                </c:pt>
                <c:pt idx="34">
                  <c:v>0.73513926732850177</c:v>
                </c:pt>
                <c:pt idx="35">
                  <c:v>0.73891366732850172</c:v>
                </c:pt>
                <c:pt idx="36">
                  <c:v>0.74274033399516837</c:v>
                </c:pt>
                <c:pt idx="37">
                  <c:v>0.7466192673285017</c:v>
                </c:pt>
                <c:pt idx="38">
                  <c:v>0.75055046732850172</c:v>
                </c:pt>
                <c:pt idx="39">
                  <c:v>0.75453393399516833</c:v>
                </c:pt>
                <c:pt idx="40">
                  <c:v>0.75856966732850173</c:v>
                </c:pt>
                <c:pt idx="41">
                  <c:v>0.76265766732850171</c:v>
                </c:pt>
                <c:pt idx="42">
                  <c:v>0.76679793399516849</c:v>
                </c:pt>
                <c:pt idx="43">
                  <c:v>0.77099046732850174</c:v>
                </c:pt>
                <c:pt idx="44">
                  <c:v>0.77523526732850168</c:v>
                </c:pt>
                <c:pt idx="45">
                  <c:v>0.77953233399516841</c:v>
                </c:pt>
                <c:pt idx="46">
                  <c:v>0.78388166732850184</c:v>
                </c:pt>
                <c:pt idx="47">
                  <c:v>0.78828326732850174</c:v>
                </c:pt>
                <c:pt idx="48">
                  <c:v>0.79273713399516832</c:v>
                </c:pt>
                <c:pt idx="49">
                  <c:v>0.7972432673285017</c:v>
                </c:pt>
                <c:pt idx="50">
                  <c:v>0.80180166732850178</c:v>
                </c:pt>
                <c:pt idx="51">
                  <c:v>0.80641233399516843</c:v>
                </c:pt>
                <c:pt idx="52">
                  <c:v>0.81107526732850177</c:v>
                </c:pt>
                <c:pt idx="53">
                  <c:v>0.8157904673285018</c:v>
                </c:pt>
                <c:pt idx="54">
                  <c:v>0.82055793399516841</c:v>
                </c:pt>
                <c:pt idx="55">
                  <c:v>0.82537766732850182</c:v>
                </c:pt>
                <c:pt idx="56">
                  <c:v>0.83024966732850169</c:v>
                </c:pt>
                <c:pt idx="57">
                  <c:v>0.83517393399516837</c:v>
                </c:pt>
                <c:pt idx="58">
                  <c:v>0.84015046732850174</c:v>
                </c:pt>
                <c:pt idx="59">
                  <c:v>0.84517926732850168</c:v>
                </c:pt>
                <c:pt idx="60">
                  <c:v>0.85026033399516843</c:v>
                </c:pt>
                <c:pt idx="61">
                  <c:v>0.85539366732850175</c:v>
                </c:pt>
                <c:pt idx="62">
                  <c:v>0.86057926732850187</c:v>
                </c:pt>
                <c:pt idx="63">
                  <c:v>0.86581713399516835</c:v>
                </c:pt>
                <c:pt idx="64">
                  <c:v>0.87110726732850186</c:v>
                </c:pt>
                <c:pt idx="65">
                  <c:v>0.87644966732850182</c:v>
                </c:pt>
                <c:pt idx="66">
                  <c:v>0.88184433399516837</c:v>
                </c:pt>
                <c:pt idx="67">
                  <c:v>0.88729126732850183</c:v>
                </c:pt>
                <c:pt idx="68">
                  <c:v>0.89279046732850165</c:v>
                </c:pt>
                <c:pt idx="69">
                  <c:v>0.89834193399516837</c:v>
                </c:pt>
                <c:pt idx="70">
                  <c:v>0.90394566732850168</c:v>
                </c:pt>
                <c:pt idx="71">
                  <c:v>0.90960166732850167</c:v>
                </c:pt>
                <c:pt idx="72">
                  <c:v>0.91530993399516836</c:v>
                </c:pt>
                <c:pt idx="73">
                  <c:v>0.92107046732850173</c:v>
                </c:pt>
                <c:pt idx="74">
                  <c:v>0.92688326732850179</c:v>
                </c:pt>
                <c:pt idx="75">
                  <c:v>0.93274833399516832</c:v>
                </c:pt>
                <c:pt idx="76">
                  <c:v>0.93866566732850176</c:v>
                </c:pt>
                <c:pt idx="77">
                  <c:v>0.94463526732850167</c:v>
                </c:pt>
                <c:pt idx="78">
                  <c:v>0.95065713399516838</c:v>
                </c:pt>
                <c:pt idx="79">
                  <c:v>0.95673126732850167</c:v>
                </c:pt>
                <c:pt idx="80">
                  <c:v>0.96285766732850175</c:v>
                </c:pt>
                <c:pt idx="81">
                  <c:v>0.96903633399516842</c:v>
                </c:pt>
                <c:pt idx="82">
                  <c:v>0.97526726732850166</c:v>
                </c:pt>
                <c:pt idx="83">
                  <c:v>0.98155046732850182</c:v>
                </c:pt>
                <c:pt idx="84">
                  <c:v>0.98788593399516844</c:v>
                </c:pt>
                <c:pt idx="85">
                  <c:v>0.99427366732850175</c:v>
                </c:pt>
                <c:pt idx="86">
                  <c:v>1.0007136673285018</c:v>
                </c:pt>
                <c:pt idx="87">
                  <c:v>1.0072059339951684</c:v>
                </c:pt>
                <c:pt idx="88">
                  <c:v>1.0137504673285016</c:v>
                </c:pt>
                <c:pt idx="89">
                  <c:v>1.0203472673285017</c:v>
                </c:pt>
                <c:pt idx="90">
                  <c:v>1.0269963339951684</c:v>
                </c:pt>
                <c:pt idx="91">
                  <c:v>1.0336976673285017</c:v>
                </c:pt>
                <c:pt idx="92">
                  <c:v>1.0404512673285016</c:v>
                </c:pt>
                <c:pt idx="93">
                  <c:v>1.0472571339951684</c:v>
                </c:pt>
                <c:pt idx="94">
                  <c:v>1.0541152673285017</c:v>
                </c:pt>
                <c:pt idx="95">
                  <c:v>1.0610256673285017</c:v>
                </c:pt>
                <c:pt idx="96">
                  <c:v>1.0679883339951683</c:v>
                </c:pt>
                <c:pt idx="97">
                  <c:v>1.0750032673285017</c:v>
                </c:pt>
                <c:pt idx="98">
                  <c:v>1.0820704673285015</c:v>
                </c:pt>
                <c:pt idx="99">
                  <c:v>1.0891899339951683</c:v>
                </c:pt>
                <c:pt idx="100">
                  <c:v>1.0963616673285017</c:v>
                </c:pt>
                <c:pt idx="101">
                  <c:v>1.1035856673285016</c:v>
                </c:pt>
                <c:pt idx="102">
                  <c:v>1.1108619339951684</c:v>
                </c:pt>
                <c:pt idx="103">
                  <c:v>1.1181904673285017</c:v>
                </c:pt>
                <c:pt idx="104">
                  <c:v>1.1255712673285017</c:v>
                </c:pt>
                <c:pt idx="105">
                  <c:v>1.1330043339951683</c:v>
                </c:pt>
                <c:pt idx="106">
                  <c:v>1.1404896673285019</c:v>
                </c:pt>
                <c:pt idx="107">
                  <c:v>1.1480272673285017</c:v>
                </c:pt>
                <c:pt idx="108">
                  <c:v>1.1556171339951684</c:v>
                </c:pt>
                <c:pt idx="109">
                  <c:v>1.1632592673285016</c:v>
                </c:pt>
                <c:pt idx="110">
                  <c:v>1.1709536673285019</c:v>
                </c:pt>
                <c:pt idx="111">
                  <c:v>1.1787003339951685</c:v>
                </c:pt>
                <c:pt idx="112">
                  <c:v>1.1864992673285015</c:v>
                </c:pt>
                <c:pt idx="113">
                  <c:v>1.1943504673285019</c:v>
                </c:pt>
                <c:pt idx="114">
                  <c:v>1.2022539339951683</c:v>
                </c:pt>
                <c:pt idx="115">
                  <c:v>1.2102096673285019</c:v>
                </c:pt>
                <c:pt idx="116">
                  <c:v>1.2182176673285019</c:v>
                </c:pt>
                <c:pt idx="117">
                  <c:v>1.2262779339951684</c:v>
                </c:pt>
                <c:pt idx="118">
                  <c:v>1.2343904673285018</c:v>
                </c:pt>
                <c:pt idx="119">
                  <c:v>1.2425552673285019</c:v>
                </c:pt>
                <c:pt idx="120">
                  <c:v>1.2507723339951684</c:v>
                </c:pt>
                <c:pt idx="121">
                  <c:v>1.2590416673285016</c:v>
                </c:pt>
                <c:pt idx="122">
                  <c:v>1.2673632673285018</c:v>
                </c:pt>
                <c:pt idx="123">
                  <c:v>1.2757371339951682</c:v>
                </c:pt>
                <c:pt idx="124">
                  <c:v>1.2841632673285017</c:v>
                </c:pt>
                <c:pt idx="125">
                  <c:v>1.2926416673285019</c:v>
                </c:pt>
                <c:pt idx="126">
                  <c:v>1.3011723339951682</c:v>
                </c:pt>
                <c:pt idx="127">
                  <c:v>1.3097552673285018</c:v>
                </c:pt>
                <c:pt idx="128">
                  <c:v>1.3183904673285016</c:v>
                </c:pt>
                <c:pt idx="129">
                  <c:v>1.3270779339951686</c:v>
                </c:pt>
                <c:pt idx="130">
                  <c:v>1.3358176673285018</c:v>
                </c:pt>
                <c:pt idx="131">
                  <c:v>1.3446096673285015</c:v>
                </c:pt>
                <c:pt idx="132">
                  <c:v>1.3534539339951683</c:v>
                </c:pt>
                <c:pt idx="133">
                  <c:v>1.3623504673285018</c:v>
                </c:pt>
                <c:pt idx="134">
                  <c:v>1.3712992673285016</c:v>
                </c:pt>
                <c:pt idx="135">
                  <c:v>1.3803003339951685</c:v>
                </c:pt>
                <c:pt idx="136">
                  <c:v>1.3893536673285016</c:v>
                </c:pt>
                <c:pt idx="137">
                  <c:v>1.3984592673285019</c:v>
                </c:pt>
                <c:pt idx="138">
                  <c:v>1.4076171339951684</c:v>
                </c:pt>
                <c:pt idx="139">
                  <c:v>1.4168272673285018</c:v>
                </c:pt>
                <c:pt idx="140">
                  <c:v>1.4260896673285015</c:v>
                </c:pt>
                <c:pt idx="141">
                  <c:v>1.4354043339951685</c:v>
                </c:pt>
                <c:pt idx="142">
                  <c:v>1.4447712673285016</c:v>
                </c:pt>
                <c:pt idx="143">
                  <c:v>1.454190467328502</c:v>
                </c:pt>
                <c:pt idx="144">
                  <c:v>1.4636619339951684</c:v>
                </c:pt>
                <c:pt idx="145">
                  <c:v>1.4731856673285018</c:v>
                </c:pt>
                <c:pt idx="146">
                  <c:v>1.4827616673285018</c:v>
                </c:pt>
                <c:pt idx="147">
                  <c:v>1.4923899339951685</c:v>
                </c:pt>
                <c:pt idx="148">
                  <c:v>1.5020704673285015</c:v>
                </c:pt>
                <c:pt idx="149">
                  <c:v>1.5118032673285018</c:v>
                </c:pt>
                <c:pt idx="150">
                  <c:v>1.5215883339951684</c:v>
                </c:pt>
              </c:numCache>
            </c:numRef>
          </c:yVal>
          <c:smooth val="1"/>
          <c:extLst>
            <c:ext xmlns:c16="http://schemas.microsoft.com/office/drawing/2014/chart" uri="{C3380CC4-5D6E-409C-BE32-E72D297353CC}">
              <c16:uniqueId val="{00000002-8268-4C3F-B748-2F54233BBCCC}"/>
            </c:ext>
          </c:extLst>
        </c:ser>
        <c:ser>
          <c:idx val="3"/>
          <c:order val="3"/>
          <c:tx>
            <c:v>RCS</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[1]Eff_vs_IOUT!$AP$7:$AP$157</c:f>
              <c:numCache>
                <c:formatCode>General</c:formatCode>
                <c:ptCount val="151"/>
                <c:pt idx="0">
                  <c:v>2.5461412761301648E-3</c:v>
                </c:pt>
                <c:pt idx="1">
                  <c:v>2.663741276130165E-3</c:v>
                </c:pt>
                <c:pt idx="2">
                  <c:v>3.0165412761301649E-3</c:v>
                </c:pt>
                <c:pt idx="3">
                  <c:v>3.6045412761301645E-3</c:v>
                </c:pt>
                <c:pt idx="4">
                  <c:v>4.4277412761301654E-3</c:v>
                </c:pt>
                <c:pt idx="5">
                  <c:v>5.4861412761301655E-3</c:v>
                </c:pt>
                <c:pt idx="6">
                  <c:v>6.7797412761301645E-3</c:v>
                </c:pt>
                <c:pt idx="7">
                  <c:v>8.308541276130163E-3</c:v>
                </c:pt>
                <c:pt idx="8">
                  <c:v>1.0072541276130166E-2</c:v>
                </c:pt>
                <c:pt idx="9">
                  <c:v>1.2071741276130166E-2</c:v>
                </c:pt>
                <c:pt idx="10">
                  <c:v>1.4306141276130167E-2</c:v>
                </c:pt>
                <c:pt idx="11">
                  <c:v>1.6775741276130161E-2</c:v>
                </c:pt>
                <c:pt idx="12">
                  <c:v>1.9480541276130164E-2</c:v>
                </c:pt>
                <c:pt idx="13">
                  <c:v>2.242054127613017E-2</c:v>
                </c:pt>
                <c:pt idx="14">
                  <c:v>2.5595741276130162E-2</c:v>
                </c:pt>
                <c:pt idx="15">
                  <c:v>2.9006141276130167E-2</c:v>
                </c:pt>
                <c:pt idx="16">
                  <c:v>3.2651741276130172E-2</c:v>
                </c:pt>
                <c:pt idx="17">
                  <c:v>3.6532541276130169E-2</c:v>
                </c:pt>
                <c:pt idx="18">
                  <c:v>4.0648541276130171E-2</c:v>
                </c:pt>
                <c:pt idx="19">
                  <c:v>4.4999741276130177E-2</c:v>
                </c:pt>
                <c:pt idx="20">
                  <c:v>4.9586141276130175E-2</c:v>
                </c:pt>
                <c:pt idx="21">
                  <c:v>5.4407741276130184E-2</c:v>
                </c:pt>
                <c:pt idx="22">
                  <c:v>5.9464541276130156E-2</c:v>
                </c:pt>
                <c:pt idx="23">
                  <c:v>6.4756541276130161E-2</c:v>
                </c:pt>
                <c:pt idx="24">
                  <c:v>7.0283741276130171E-2</c:v>
                </c:pt>
                <c:pt idx="25">
                  <c:v>7.6046141276130172E-2</c:v>
                </c:pt>
                <c:pt idx="26">
                  <c:v>8.2043741276130178E-2</c:v>
                </c:pt>
                <c:pt idx="27">
                  <c:v>8.827654127613016E-2</c:v>
                </c:pt>
                <c:pt idx="28">
                  <c:v>9.4744541276130148E-2</c:v>
                </c:pt>
                <c:pt idx="29">
                  <c:v>0.10144774127613021</c:v>
                </c:pt>
                <c:pt idx="30">
                  <c:v>0.10838614127613017</c:v>
                </c:pt>
                <c:pt idx="31">
                  <c:v>0.11555974127613018</c:v>
                </c:pt>
                <c:pt idx="32">
                  <c:v>0.12296854127613016</c:v>
                </c:pt>
                <c:pt idx="33">
                  <c:v>0.13061254127613015</c:v>
                </c:pt>
                <c:pt idx="34">
                  <c:v>0.13849174127613015</c:v>
                </c:pt>
                <c:pt idx="35">
                  <c:v>0.14660614127613011</c:v>
                </c:pt>
                <c:pt idx="36">
                  <c:v>0.15495574127613018</c:v>
                </c:pt>
                <c:pt idx="37">
                  <c:v>0.16354054127613019</c:v>
                </c:pt>
                <c:pt idx="38">
                  <c:v>0.17236054127613018</c:v>
                </c:pt>
                <c:pt idx="39">
                  <c:v>0.18141574127613017</c:v>
                </c:pt>
                <c:pt idx="40">
                  <c:v>0.1907061412761302</c:v>
                </c:pt>
                <c:pt idx="41">
                  <c:v>0.20023174127613019</c:v>
                </c:pt>
                <c:pt idx="42">
                  <c:v>0.20999254127613026</c:v>
                </c:pt>
                <c:pt idx="43">
                  <c:v>0.21998854127613024</c:v>
                </c:pt>
                <c:pt idx="44">
                  <c:v>0.2302197412761301</c:v>
                </c:pt>
                <c:pt idx="45">
                  <c:v>0.24068614127613017</c:v>
                </c:pt>
                <c:pt idx="46">
                  <c:v>0.25138774127613023</c:v>
                </c:pt>
                <c:pt idx="47">
                  <c:v>0.26232454127613014</c:v>
                </c:pt>
                <c:pt idx="48">
                  <c:v>0.27349654127613016</c:v>
                </c:pt>
                <c:pt idx="49">
                  <c:v>0.28490374127613011</c:v>
                </c:pt>
                <c:pt idx="50">
                  <c:v>0.29654614127613022</c:v>
                </c:pt>
                <c:pt idx="51">
                  <c:v>0.3084237412761302</c:v>
                </c:pt>
                <c:pt idx="52">
                  <c:v>0.32053654127613024</c:v>
                </c:pt>
                <c:pt idx="53">
                  <c:v>0.33288454127613021</c:v>
                </c:pt>
                <c:pt idx="54">
                  <c:v>0.34546774127613017</c:v>
                </c:pt>
                <c:pt idx="55">
                  <c:v>0.35828614127613029</c:v>
                </c:pt>
                <c:pt idx="56">
                  <c:v>0.37133974127613001</c:v>
                </c:pt>
                <c:pt idx="57">
                  <c:v>0.38462854127613016</c:v>
                </c:pt>
                <c:pt idx="58">
                  <c:v>0.3981525412761302</c:v>
                </c:pt>
                <c:pt idx="59">
                  <c:v>0.41191174127613006</c:v>
                </c:pt>
                <c:pt idx="60">
                  <c:v>0.42590614127613013</c:v>
                </c:pt>
                <c:pt idx="61">
                  <c:v>0.44013574127613031</c:v>
                </c:pt>
                <c:pt idx="62">
                  <c:v>0.45460054127613025</c:v>
                </c:pt>
                <c:pt idx="63">
                  <c:v>0.46930054127613019</c:v>
                </c:pt>
                <c:pt idx="64">
                  <c:v>0.48423574127613017</c:v>
                </c:pt>
                <c:pt idx="65">
                  <c:v>0.49940614127613037</c:v>
                </c:pt>
                <c:pt idx="66">
                  <c:v>0.51481174127613027</c:v>
                </c:pt>
                <c:pt idx="67">
                  <c:v>0.53045254127613017</c:v>
                </c:pt>
                <c:pt idx="68">
                  <c:v>0.54632854127613006</c:v>
                </c:pt>
                <c:pt idx="69">
                  <c:v>0.56243974127613017</c:v>
                </c:pt>
                <c:pt idx="70">
                  <c:v>0.57878614127612993</c:v>
                </c:pt>
                <c:pt idx="71">
                  <c:v>0.59536774127613012</c:v>
                </c:pt>
                <c:pt idx="72">
                  <c:v>0.6121845412761302</c:v>
                </c:pt>
                <c:pt idx="73">
                  <c:v>0.62923654127613027</c:v>
                </c:pt>
                <c:pt idx="74">
                  <c:v>0.64652374127613033</c:v>
                </c:pt>
                <c:pt idx="75">
                  <c:v>0.66404614127613015</c:v>
                </c:pt>
                <c:pt idx="76">
                  <c:v>0.68180374127613019</c:v>
                </c:pt>
                <c:pt idx="77">
                  <c:v>0.69979654127613033</c:v>
                </c:pt>
                <c:pt idx="78">
                  <c:v>0.71802454127613013</c:v>
                </c:pt>
                <c:pt idx="79">
                  <c:v>0.73648774127613015</c:v>
                </c:pt>
                <c:pt idx="80">
                  <c:v>0.75518614127613026</c:v>
                </c:pt>
                <c:pt idx="81">
                  <c:v>0.77411974127613048</c:v>
                </c:pt>
                <c:pt idx="82">
                  <c:v>0.79328854127613024</c:v>
                </c:pt>
                <c:pt idx="83">
                  <c:v>0.81269254127613033</c:v>
                </c:pt>
                <c:pt idx="84">
                  <c:v>0.83233174127613052</c:v>
                </c:pt>
                <c:pt idx="85">
                  <c:v>0.85220614127613015</c:v>
                </c:pt>
                <c:pt idx="86">
                  <c:v>0.87231574127613043</c:v>
                </c:pt>
                <c:pt idx="87">
                  <c:v>0.89266054127613048</c:v>
                </c:pt>
                <c:pt idx="88">
                  <c:v>0.91324054127612997</c:v>
                </c:pt>
                <c:pt idx="89">
                  <c:v>0.93405574127613</c:v>
                </c:pt>
                <c:pt idx="90">
                  <c:v>0.95510614127613036</c:v>
                </c:pt>
                <c:pt idx="91">
                  <c:v>0.97639174127613004</c:v>
                </c:pt>
                <c:pt idx="92">
                  <c:v>0.99791254127613027</c:v>
                </c:pt>
                <c:pt idx="93">
                  <c:v>1.0196685412761304</c:v>
                </c:pt>
                <c:pt idx="94">
                  <c:v>1.0416597412761301</c:v>
                </c:pt>
                <c:pt idx="95">
                  <c:v>1.06388614127613</c:v>
                </c:pt>
                <c:pt idx="96">
                  <c:v>1.0863477412761304</c:v>
                </c:pt>
                <c:pt idx="97">
                  <c:v>1.1090445412761303</c:v>
                </c:pt>
                <c:pt idx="98">
                  <c:v>1.13197654127613</c:v>
                </c:pt>
                <c:pt idx="99">
                  <c:v>1.1551437412761303</c:v>
                </c:pt>
                <c:pt idx="100">
                  <c:v>1.1785461412761302</c:v>
                </c:pt>
                <c:pt idx="101">
                  <c:v>1.2021837412761303</c:v>
                </c:pt>
                <c:pt idx="102">
                  <c:v>1.22605654127613</c:v>
                </c:pt>
                <c:pt idx="103">
                  <c:v>1.2501645412761302</c:v>
                </c:pt>
                <c:pt idx="104">
                  <c:v>1.2745077412761305</c:v>
                </c:pt>
                <c:pt idx="105">
                  <c:v>1.2990861412761303</c:v>
                </c:pt>
                <c:pt idx="106">
                  <c:v>1.3238997412761304</c:v>
                </c:pt>
                <c:pt idx="107">
                  <c:v>1.3489485412761304</c:v>
                </c:pt>
                <c:pt idx="108">
                  <c:v>1.3742325412761303</c:v>
                </c:pt>
                <c:pt idx="109">
                  <c:v>1.3997517412761304</c:v>
                </c:pt>
                <c:pt idx="110">
                  <c:v>1.4255061412761303</c:v>
                </c:pt>
                <c:pt idx="111">
                  <c:v>1.4514957412761309</c:v>
                </c:pt>
                <c:pt idx="112">
                  <c:v>1.4777205412761296</c:v>
                </c:pt>
                <c:pt idx="113">
                  <c:v>1.5041805412761304</c:v>
                </c:pt>
                <c:pt idx="114">
                  <c:v>1.5308757412761302</c:v>
                </c:pt>
                <c:pt idx="115">
                  <c:v>1.5578061412761306</c:v>
                </c:pt>
                <c:pt idx="116">
                  <c:v>1.5849717412761304</c:v>
                </c:pt>
                <c:pt idx="117">
                  <c:v>1.6123725412761301</c:v>
                </c:pt>
                <c:pt idx="118">
                  <c:v>1.6400085412761298</c:v>
                </c:pt>
                <c:pt idx="119">
                  <c:v>1.6678797412761301</c:v>
                </c:pt>
                <c:pt idx="120">
                  <c:v>1.6959861412761297</c:v>
                </c:pt>
                <c:pt idx="121">
                  <c:v>1.7243277412761302</c:v>
                </c:pt>
                <c:pt idx="122">
                  <c:v>1.7529045412761304</c:v>
                </c:pt>
                <c:pt idx="123">
                  <c:v>1.7817165412761307</c:v>
                </c:pt>
                <c:pt idx="124">
                  <c:v>1.8107637412761304</c:v>
                </c:pt>
                <c:pt idx="125">
                  <c:v>1.8400461412761306</c:v>
                </c:pt>
                <c:pt idx="126">
                  <c:v>1.8695637412761303</c:v>
                </c:pt>
                <c:pt idx="127">
                  <c:v>1.8993165412761301</c:v>
                </c:pt>
                <c:pt idx="128">
                  <c:v>1.92930454127613</c:v>
                </c:pt>
                <c:pt idx="129">
                  <c:v>1.9595277412761303</c:v>
                </c:pt>
                <c:pt idx="130">
                  <c:v>1.9899861412761308</c:v>
                </c:pt>
                <c:pt idx="131">
                  <c:v>2.0206797412761301</c:v>
                </c:pt>
                <c:pt idx="132">
                  <c:v>2.0516085412761305</c:v>
                </c:pt>
                <c:pt idx="133">
                  <c:v>2.08277254127613</c:v>
                </c:pt>
                <c:pt idx="134">
                  <c:v>2.1141717412761301</c:v>
                </c:pt>
                <c:pt idx="135">
                  <c:v>2.1458061412761307</c:v>
                </c:pt>
                <c:pt idx="136">
                  <c:v>2.1776757412761296</c:v>
                </c:pt>
                <c:pt idx="137">
                  <c:v>2.20978054127613</c:v>
                </c:pt>
                <c:pt idx="138">
                  <c:v>2.2421205412761296</c:v>
                </c:pt>
                <c:pt idx="139">
                  <c:v>2.2746957412761306</c:v>
                </c:pt>
                <c:pt idx="140">
                  <c:v>2.3075061412761295</c:v>
                </c:pt>
                <c:pt idx="141">
                  <c:v>2.3405517412761307</c:v>
                </c:pt>
                <c:pt idx="142">
                  <c:v>2.3738325412761303</c:v>
                </c:pt>
                <c:pt idx="143">
                  <c:v>2.4073485412761304</c:v>
                </c:pt>
                <c:pt idx="144">
                  <c:v>2.4410997412761302</c:v>
                </c:pt>
                <c:pt idx="145">
                  <c:v>2.4750861412761305</c:v>
                </c:pt>
                <c:pt idx="146">
                  <c:v>2.50930774127613</c:v>
                </c:pt>
                <c:pt idx="147">
                  <c:v>2.5437645412761301</c:v>
                </c:pt>
                <c:pt idx="148">
                  <c:v>2.5784565412761302</c:v>
                </c:pt>
                <c:pt idx="149">
                  <c:v>2.6133837412761314</c:v>
                </c:pt>
                <c:pt idx="150">
                  <c:v>2.6485461412761295</c:v>
                </c:pt>
              </c:numCache>
            </c:numRef>
          </c:yVal>
          <c:smooth val="1"/>
          <c:extLst>
            <c:ext xmlns:c16="http://schemas.microsoft.com/office/drawing/2014/chart" uri="{C3380CC4-5D6E-409C-BE32-E72D297353CC}">
              <c16:uniqueId val="{00000003-8268-4C3F-B748-2F54233BBCCC}"/>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Eff_vs_IOUT!$AW$7:$AW$157</c:f>
              <c:numCache>
                <c:formatCode>General</c:formatCode>
                <c:ptCount val="151"/>
                <c:pt idx="0">
                  <c:v>0</c:v>
                </c:pt>
                <c:pt idx="1">
                  <c:v>64.471922888900721</c:v>
                </c:pt>
                <c:pt idx="2">
                  <c:v>78.194325965986664</c:v>
                </c:pt>
                <c:pt idx="3">
                  <c:v>84.153971285988121</c:v>
                </c:pt>
                <c:pt idx="4">
                  <c:v>87.478459864241614</c:v>
                </c:pt>
                <c:pt idx="5">
                  <c:v>89.594326411584774</c:v>
                </c:pt>
                <c:pt idx="6">
                  <c:v>91.055841460611958</c:v>
                </c:pt>
                <c:pt idx="7">
                  <c:v>92.123301256118353</c:v>
                </c:pt>
                <c:pt idx="8">
                  <c:v>92.935108477856019</c:v>
                </c:pt>
                <c:pt idx="9">
                  <c:v>93.571646003915944</c:v>
                </c:pt>
                <c:pt idx="10">
                  <c:v>94.082795952666331</c:v>
                </c:pt>
                <c:pt idx="11">
                  <c:v>94.501152906708953</c:v>
                </c:pt>
                <c:pt idx="12">
                  <c:v>94.848915904970426</c:v>
                </c:pt>
                <c:pt idx="13">
                  <c:v>95.141726772148388</c:v>
                </c:pt>
                <c:pt idx="14">
                  <c:v>95.390924734494462</c:v>
                </c:pt>
                <c:pt idx="15">
                  <c:v>95.604930625893374</c:v>
                </c:pt>
                <c:pt idx="16">
                  <c:v>95.790129016847743</c:v>
                </c:pt>
                <c:pt idx="17">
                  <c:v>95.951448619160146</c:v>
                </c:pt>
                <c:pt idx="18">
                  <c:v>96.09275487516723</c:v>
                </c:pt>
                <c:pt idx="19">
                  <c:v>96.217122008395933</c:v>
                </c:pt>
                <c:pt idx="20">
                  <c:v>96.327025611490782</c:v>
                </c:pt>
                <c:pt idx="21">
                  <c:v>96.424481592850356</c:v>
                </c:pt>
                <c:pt idx="22">
                  <c:v>96.511148139461881</c:v>
                </c:pt>
                <c:pt idx="23">
                  <c:v>96.588401692845665</c:v>
                </c:pt>
                <c:pt idx="24">
                  <c:v>96.657394350302681</c:v>
                </c:pt>
                <c:pt idx="25">
                  <c:v>96.719097782066115</c:v>
                </c:pt>
                <c:pt idx="26">
                  <c:v>96.774337220589828</c:v>
                </c:pt>
                <c:pt idx="27">
                  <c:v>96.823818045235072</c:v>
                </c:pt>
                <c:pt idx="28">
                  <c:v>96.86814677836901</c:v>
                </c:pt>
                <c:pt idx="29">
                  <c:v>96.907847817106159</c:v>
                </c:pt>
                <c:pt idx="30">
                  <c:v>96.943376878059652</c:v>
                </c:pt>
                <c:pt idx="31">
                  <c:v>96.975131884577721</c:v>
                </c:pt>
                <c:pt idx="32">
                  <c:v>97.00346184660782</c:v>
                </c:pt>
                <c:pt idx="33">
                  <c:v>97.028674152117318</c:v>
                </c:pt>
                <c:pt idx="34">
                  <c:v>97.051040591973731</c:v>
                </c:pt>
                <c:pt idx="35">
                  <c:v>97.070802367731773</c:v>
                </c:pt>
                <c:pt idx="36">
                  <c:v>97.088174277163162</c:v>
                </c:pt>
                <c:pt idx="37">
                  <c:v>97.103348230846507</c:v>
                </c:pt>
                <c:pt idx="38">
                  <c:v>97.116496221310982</c:v>
                </c:pt>
                <c:pt idx="39">
                  <c:v>97.127772841646902</c:v>
                </c:pt>
                <c:pt idx="40">
                  <c:v>97.137317431373376</c:v>
                </c:pt>
                <c:pt idx="41">
                  <c:v>97.145255912371738</c:v>
                </c:pt>
                <c:pt idx="42">
                  <c:v>97.151702365882755</c:v>
                </c:pt>
                <c:pt idx="43">
                  <c:v>97.156760392195523</c:v>
                </c:pt>
                <c:pt idx="44">
                  <c:v>97.160524287179612</c:v>
                </c:pt>
                <c:pt idx="45">
                  <c:v>97.163080063812018</c:v>
                </c:pt>
                <c:pt idx="46">
                  <c:v>97.164506342012828</c:v>
                </c:pt>
                <c:pt idx="47">
                  <c:v>97.164875126178913</c:v>
                </c:pt>
                <c:pt idx="48">
                  <c:v>97.164252486610962</c:v>
                </c:pt>
                <c:pt idx="49">
                  <c:v>97.162699158412707</c:v>
                </c:pt>
                <c:pt idx="50">
                  <c:v>97.160271069292648</c:v>
                </c:pt>
                <c:pt idx="51">
                  <c:v>97.157019805924193</c:v>
                </c:pt>
                <c:pt idx="52">
                  <c:v>97.152993027049689</c:v>
                </c:pt>
                <c:pt idx="53">
                  <c:v>97.148234830291429</c:v>
                </c:pt>
                <c:pt idx="54">
                  <c:v>97.142786078610328</c:v>
                </c:pt>
                <c:pt idx="55">
                  <c:v>97.136684691498772</c:v>
                </c:pt>
                <c:pt idx="56">
                  <c:v>97.129965905272655</c:v>
                </c:pt>
                <c:pt idx="57">
                  <c:v>97.122662506222696</c:v>
                </c:pt>
                <c:pt idx="58">
                  <c:v>97.114805039869537</c:v>
                </c:pt>
                <c:pt idx="59">
                  <c:v>97.10642199913228</c:v>
                </c:pt>
                <c:pt idx="60">
                  <c:v>97.097539993848926</c:v>
                </c:pt>
                <c:pt idx="61">
                  <c:v>97.088183903768851</c:v>
                </c:pt>
                <c:pt idx="62">
                  <c:v>97.078377016868458</c:v>
                </c:pt>
                <c:pt idx="63">
                  <c:v>97.068141154605598</c:v>
                </c:pt>
                <c:pt idx="64">
                  <c:v>97.057496785530532</c:v>
                </c:pt>
                <c:pt idx="65">
                  <c:v>97.046463128495958</c:v>
                </c:pt>
                <c:pt idx="66">
                  <c:v>97.035058246560951</c:v>
                </c:pt>
                <c:pt idx="67">
                  <c:v>97.023299132552935</c:v>
                </c:pt>
                <c:pt idx="68">
                  <c:v>97.011201787139839</c:v>
                </c:pt>
                <c:pt idx="69">
                  <c:v>96.998781290166107</c:v>
                </c:pt>
                <c:pt idx="70">
                  <c:v>96.98605186592134</c:v>
                </c:pt>
                <c:pt idx="71">
                  <c:v>96.973026942934865</c:v>
                </c:pt>
                <c:pt idx="72">
                  <c:v>96.959719208824751</c:v>
                </c:pt>
                <c:pt idx="73">
                  <c:v>96.946140660671816</c:v>
                </c:pt>
                <c:pt idx="74">
                  <c:v>96.9323026513391</c:v>
                </c:pt>
                <c:pt idx="75">
                  <c:v>96.918215932112091</c:v>
                </c:pt>
                <c:pt idx="76">
                  <c:v>96.903890691996679</c:v>
                </c:pt>
                <c:pt idx="77">
                  <c:v>96.889336593976182</c:v>
                </c:pt>
                <c:pt idx="78">
                  <c:v>96.874562808498737</c:v>
                </c:pt>
                <c:pt idx="79">
                  <c:v>96.859578044438493</c:v>
                </c:pt>
                <c:pt idx="80">
                  <c:v>96.844390577750517</c:v>
                </c:pt>
                <c:pt idx="81">
                  <c:v>96.829008278017071</c:v>
                </c:pt>
                <c:pt idx="82">
                  <c:v>96.813438633064322</c:v>
                </c:pt>
                <c:pt idx="83">
                  <c:v>96.797688771810968</c:v>
                </c:pt>
                <c:pt idx="84">
                  <c:v>96.78176548549547</c:v>
                </c:pt>
                <c:pt idx="85">
                  <c:v>96.765675247414109</c:v>
                </c:pt>
                <c:pt idx="86">
                  <c:v>96.749424231290789</c:v>
                </c:pt>
                <c:pt idx="87">
                  <c:v>96.733018328387772</c:v>
                </c:pt>
                <c:pt idx="88">
                  <c:v>96.716463163456893</c:v>
                </c:pt>
                <c:pt idx="89">
                  <c:v>96.699764109621739</c:v>
                </c:pt>
                <c:pt idx="90">
                  <c:v>96.682926302274012</c:v>
                </c:pt>
                <c:pt idx="91">
                  <c:v>96.665954652058701</c:v>
                </c:pt>
                <c:pt idx="92">
                  <c:v>96.648853857017471</c:v>
                </c:pt>
                <c:pt idx="93">
                  <c:v>96.631628413953251</c:v>
                </c:pt>
                <c:pt idx="94">
                  <c:v>96.614282629073472</c:v>
                </c:pt>
                <c:pt idx="95">
                  <c:v>96.596820627964874</c:v>
                </c:pt>
                <c:pt idx="96">
                  <c:v>96.579246364948503</c:v>
                </c:pt>
                <c:pt idx="97">
                  <c:v>96.561563631859158</c:v>
                </c:pt>
                <c:pt idx="98">
                  <c:v>96.543776066290377</c:v>
                </c:pt>
                <c:pt idx="99">
                  <c:v>96.525887159342318</c:v>
                </c:pt>
                <c:pt idx="100">
                  <c:v>96.50790026290737</c:v>
                </c:pt>
                <c:pt idx="101">
                  <c:v>96.489818596525296</c:v>
                </c:pt>
                <c:pt idx="102">
                  <c:v>96.471645253837082</c:v>
                </c:pt>
                <c:pt idx="103">
                  <c:v>96.453383208665016</c:v>
                </c:pt>
                <c:pt idx="104">
                  <c:v>96.435035320743694</c:v>
                </c:pt>
                <c:pt idx="105">
                  <c:v>96.416604341125193</c:v>
                </c:pt>
                <c:pt idx="106">
                  <c:v>96.398092917279953</c:v>
                </c:pt>
                <c:pt idx="107">
                  <c:v>96.379503597912986</c:v>
                </c:pt>
                <c:pt idx="108">
                  <c:v>96.360838837513867</c:v>
                </c:pt>
                <c:pt idx="109">
                  <c:v>96.342101000657564</c:v>
                </c:pt>
                <c:pt idx="110">
                  <c:v>96.323292366071684</c:v>
                </c:pt>
                <c:pt idx="111">
                  <c:v>96.304415130485097</c:v>
                </c:pt>
                <c:pt idx="112">
                  <c:v>96.285471412271335</c:v>
                </c:pt>
                <c:pt idx="113">
                  <c:v>96.266463254899278</c:v>
                </c:pt>
                <c:pt idx="114">
                  <c:v>96.247392630203478</c:v>
                </c:pt>
                <c:pt idx="115">
                  <c:v>96.228261441484193</c:v>
                </c:pt>
                <c:pt idx="116">
                  <c:v>96.209071526448156</c:v>
                </c:pt>
                <c:pt idx="117">
                  <c:v>96.189824659999061</c:v>
                </c:pt>
                <c:pt idx="118">
                  <c:v>96.170522556886965</c:v>
                </c:pt>
                <c:pt idx="119">
                  <c:v>96.15116687422443</c:v>
                </c:pt>
                <c:pt idx="120">
                  <c:v>96.131759213877771</c:v>
                </c:pt>
                <c:pt idx="121">
                  <c:v>96.112301124740043</c:v>
                </c:pt>
                <c:pt idx="122">
                  <c:v>96.092794104892661</c:v>
                </c:pt>
                <c:pt idx="123">
                  <c:v>96.073239603662373</c:v>
                </c:pt>
                <c:pt idx="124">
                  <c:v>96.053639023578711</c:v>
                </c:pt>
                <c:pt idx="125">
                  <c:v>96.033993722238236</c:v>
                </c:pt>
                <c:pt idx="126">
                  <c:v>96.014305014080179</c:v>
                </c:pt>
                <c:pt idx="127">
                  <c:v>95.994574172078657</c:v>
                </c:pt>
                <c:pt idx="128">
                  <c:v>95.974802429355833</c:v>
                </c:pt>
                <c:pt idx="129">
                  <c:v>95.954990980720424</c:v>
                </c:pt>
                <c:pt idx="130">
                  <c:v>95.93514098413543</c:v>
                </c:pt>
                <c:pt idx="131">
                  <c:v>95.915253562118991</c:v>
                </c:pt>
                <c:pt idx="132">
                  <c:v>95.895329803081651</c:v>
                </c:pt>
                <c:pt idx="133">
                  <c:v>95.875370762603907</c:v>
                </c:pt>
                <c:pt idx="134">
                  <c:v>95.855377464656314</c:v>
                </c:pt>
                <c:pt idx="135">
                  <c:v>95.835350902765938</c:v>
                </c:pt>
                <c:pt idx="136">
                  <c:v>95.815292041131414</c:v>
                </c:pt>
                <c:pt idx="137">
                  <c:v>95.795201815689339</c:v>
                </c:pt>
                <c:pt idx="138">
                  <c:v>95.775081135134556</c:v>
                </c:pt>
                <c:pt idx="139">
                  <c:v>95.754930881896499</c:v>
                </c:pt>
                <c:pt idx="140">
                  <c:v>95.734751913073922</c:v>
                </c:pt>
                <c:pt idx="141">
                  <c:v>95.714545061329929</c:v>
                </c:pt>
                <c:pt idx="142">
                  <c:v>95.694311135749331</c:v>
                </c:pt>
                <c:pt idx="143">
                  <c:v>95.674050922660342</c:v>
                </c:pt>
                <c:pt idx="144">
                  <c:v>95.65376518642185</c:v>
                </c:pt>
                <c:pt idx="145">
                  <c:v>95.633454670178565</c:v>
                </c:pt>
                <c:pt idx="146">
                  <c:v>95.613120096584936</c:v>
                </c:pt>
                <c:pt idx="147">
                  <c:v>95.592762168499945</c:v>
                </c:pt>
                <c:pt idx="148">
                  <c:v>95.57238156965353</c:v>
                </c:pt>
                <c:pt idx="149">
                  <c:v>95.551978965286509</c:v>
                </c:pt>
                <c:pt idx="150">
                  <c:v>95.531555002764861</c:v>
                </c:pt>
              </c:numCache>
            </c:numRef>
          </c:yVal>
          <c:smooth val="0"/>
          <c:extLst>
            <c:ext xmlns:c16="http://schemas.microsoft.com/office/drawing/2014/chart" uri="{C3380CC4-5D6E-409C-BE32-E72D297353CC}">
              <c16:uniqueId val="{00000000-199A-4277-BC05-4E64B1A6016C}"/>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Eff_vs_IOUT!$AI$7:$AI$157</c:f>
              <c:numCache>
                <c:formatCode>General</c:formatCode>
                <c:ptCount val="151"/>
                <c:pt idx="0">
                  <c:v>1.4222222222222227E-3</c:v>
                </c:pt>
                <c:pt idx="1">
                  <c:v>4.2927998726456848E-3</c:v>
                </c:pt>
                <c:pt idx="2">
                  <c:v>7.1967108564024804E-3</c:v>
                </c:pt>
                <c:pt idx="3">
                  <c:v>1.0133955173492609E-2</c:v>
                </c:pt>
                <c:pt idx="4">
                  <c:v>1.3104532823916071E-2</c:v>
                </c:pt>
                <c:pt idx="5">
                  <c:v>1.610844380767287E-2</c:v>
                </c:pt>
                <c:pt idx="6">
                  <c:v>1.9145688124762993E-2</c:v>
                </c:pt>
                <c:pt idx="7">
                  <c:v>2.2216265775186466E-2</c:v>
                </c:pt>
                <c:pt idx="8">
                  <c:v>2.5320176758943255E-2</c:v>
                </c:pt>
                <c:pt idx="9">
                  <c:v>2.8457421076033388E-2</c:v>
                </c:pt>
                <c:pt idx="10">
                  <c:v>3.162799872645685E-2</c:v>
                </c:pt>
                <c:pt idx="11">
                  <c:v>3.4831909710213646E-2</c:v>
                </c:pt>
                <c:pt idx="12">
                  <c:v>3.8069154027303771E-2</c:v>
                </c:pt>
                <c:pt idx="13">
                  <c:v>4.133973167772724E-2</c:v>
                </c:pt>
                <c:pt idx="14">
                  <c:v>4.4643642661484038E-2</c:v>
                </c:pt>
                <c:pt idx="15">
                  <c:v>4.7980886978574167E-2</c:v>
                </c:pt>
                <c:pt idx="16">
                  <c:v>5.1351464628997617E-2</c:v>
                </c:pt>
                <c:pt idx="17">
                  <c:v>5.4755375612754419E-2</c:v>
                </c:pt>
                <c:pt idx="18">
                  <c:v>5.819261992984455E-2</c:v>
                </c:pt>
                <c:pt idx="19">
                  <c:v>6.1663197580268003E-2</c:v>
                </c:pt>
                <c:pt idx="20">
                  <c:v>6.5167108564024814E-2</c:v>
                </c:pt>
                <c:pt idx="21">
                  <c:v>6.8704352881114955E-2</c:v>
                </c:pt>
                <c:pt idx="22">
                  <c:v>7.2274930531538398E-2</c:v>
                </c:pt>
                <c:pt idx="23">
                  <c:v>7.5878841515295198E-2</c:v>
                </c:pt>
                <c:pt idx="24">
                  <c:v>7.9516085832385314E-2</c:v>
                </c:pt>
                <c:pt idx="25">
                  <c:v>8.3186663482808787E-2</c:v>
                </c:pt>
                <c:pt idx="26">
                  <c:v>8.689057446656559E-2</c:v>
                </c:pt>
                <c:pt idx="27">
                  <c:v>9.0627818783655695E-2</c:v>
                </c:pt>
                <c:pt idx="28">
                  <c:v>9.4398396434079199E-2</c:v>
                </c:pt>
                <c:pt idx="29">
                  <c:v>9.8202307417835963E-2</c:v>
                </c:pt>
                <c:pt idx="30">
                  <c:v>0.1020395517349261</c:v>
                </c:pt>
                <c:pt idx="31">
                  <c:v>0.10591012938534955</c:v>
                </c:pt>
                <c:pt idx="32">
                  <c:v>0.10981404036910636</c:v>
                </c:pt>
                <c:pt idx="33">
                  <c:v>0.11375128468619651</c:v>
                </c:pt>
                <c:pt idx="34">
                  <c:v>0.11772186233661995</c:v>
                </c:pt>
                <c:pt idx="35">
                  <c:v>0.12172577332037675</c:v>
                </c:pt>
                <c:pt idx="36">
                  <c:v>0.12576301763746689</c:v>
                </c:pt>
                <c:pt idx="37">
                  <c:v>0.12983359528789037</c:v>
                </c:pt>
                <c:pt idx="38">
                  <c:v>0.13393750627164711</c:v>
                </c:pt>
                <c:pt idx="39">
                  <c:v>0.13807475058873725</c:v>
                </c:pt>
                <c:pt idx="40">
                  <c:v>0.14224532823916072</c:v>
                </c:pt>
                <c:pt idx="41">
                  <c:v>0.14644923922291755</c:v>
                </c:pt>
                <c:pt idx="42">
                  <c:v>0.15068648354000769</c:v>
                </c:pt>
                <c:pt idx="43">
                  <c:v>0.15495706119043109</c:v>
                </c:pt>
                <c:pt idx="44">
                  <c:v>0.15926097217418789</c:v>
                </c:pt>
                <c:pt idx="45">
                  <c:v>0.16359821649127804</c:v>
                </c:pt>
                <c:pt idx="46">
                  <c:v>0.16796879414170149</c:v>
                </c:pt>
                <c:pt idx="47">
                  <c:v>0.17237270512545833</c:v>
                </c:pt>
                <c:pt idx="48">
                  <c:v>0.17680994944254841</c:v>
                </c:pt>
                <c:pt idx="49">
                  <c:v>0.18128052709297188</c:v>
                </c:pt>
                <c:pt idx="50">
                  <c:v>0.18578443807672868</c:v>
                </c:pt>
                <c:pt idx="51">
                  <c:v>0.1903216823938188</c:v>
                </c:pt>
                <c:pt idx="52">
                  <c:v>0.19489226004424232</c:v>
                </c:pt>
                <c:pt idx="53">
                  <c:v>0.19949617102799908</c:v>
                </c:pt>
                <c:pt idx="54">
                  <c:v>0.20413341534508916</c:v>
                </c:pt>
                <c:pt idx="55">
                  <c:v>0.20880399299551267</c:v>
                </c:pt>
                <c:pt idx="56">
                  <c:v>0.21350790397926953</c:v>
                </c:pt>
                <c:pt idx="57">
                  <c:v>0.21824514829635955</c:v>
                </c:pt>
                <c:pt idx="58">
                  <c:v>0.22301572594678304</c:v>
                </c:pt>
                <c:pt idx="59">
                  <c:v>0.22781963693053983</c:v>
                </c:pt>
                <c:pt idx="60">
                  <c:v>0.23265688124763001</c:v>
                </c:pt>
                <c:pt idx="61">
                  <c:v>0.23752745889805343</c:v>
                </c:pt>
                <c:pt idx="62">
                  <c:v>0.24243136988181022</c:v>
                </c:pt>
                <c:pt idx="63">
                  <c:v>0.24736861419890038</c:v>
                </c:pt>
                <c:pt idx="64">
                  <c:v>0.2523391918493238</c:v>
                </c:pt>
                <c:pt idx="65">
                  <c:v>0.25734310283308065</c:v>
                </c:pt>
                <c:pt idx="66">
                  <c:v>0.26238034715017083</c:v>
                </c:pt>
                <c:pt idx="67">
                  <c:v>0.26745092480059424</c:v>
                </c:pt>
                <c:pt idx="68">
                  <c:v>0.27255483578435097</c:v>
                </c:pt>
                <c:pt idx="69">
                  <c:v>0.27769208010144109</c:v>
                </c:pt>
                <c:pt idx="70">
                  <c:v>0.28286265775186459</c:v>
                </c:pt>
                <c:pt idx="71">
                  <c:v>0.28806656873562148</c:v>
                </c:pt>
                <c:pt idx="72">
                  <c:v>0.29330381305271153</c:v>
                </c:pt>
                <c:pt idx="73">
                  <c:v>0.29857439070313496</c:v>
                </c:pt>
                <c:pt idx="74">
                  <c:v>0.30387830168689184</c:v>
                </c:pt>
                <c:pt idx="75">
                  <c:v>0.30921554600398188</c:v>
                </c:pt>
                <c:pt idx="76">
                  <c:v>0.3145861236544053</c:v>
                </c:pt>
                <c:pt idx="77">
                  <c:v>0.31999003463816217</c:v>
                </c:pt>
                <c:pt idx="78">
                  <c:v>0.32542727895525236</c:v>
                </c:pt>
                <c:pt idx="79">
                  <c:v>0.33089785660567578</c:v>
                </c:pt>
                <c:pt idx="80">
                  <c:v>0.33640176758943258</c:v>
                </c:pt>
                <c:pt idx="81">
                  <c:v>0.34193901190652265</c:v>
                </c:pt>
                <c:pt idx="82">
                  <c:v>0.34750958955694622</c:v>
                </c:pt>
                <c:pt idx="83">
                  <c:v>0.3531135005407029</c:v>
                </c:pt>
                <c:pt idx="84">
                  <c:v>0.35875074485779312</c:v>
                </c:pt>
                <c:pt idx="85">
                  <c:v>0.36442132250821657</c:v>
                </c:pt>
                <c:pt idx="86">
                  <c:v>0.37012523349197329</c:v>
                </c:pt>
                <c:pt idx="87">
                  <c:v>0.37586247780906346</c:v>
                </c:pt>
                <c:pt idx="88">
                  <c:v>0.38163305545948689</c:v>
                </c:pt>
                <c:pt idx="89">
                  <c:v>0.38743696644324377</c:v>
                </c:pt>
                <c:pt idx="90">
                  <c:v>0.39327421076033392</c:v>
                </c:pt>
                <c:pt idx="91">
                  <c:v>0.39914478841075723</c:v>
                </c:pt>
                <c:pt idx="92">
                  <c:v>0.40504869939451404</c:v>
                </c:pt>
                <c:pt idx="93">
                  <c:v>0.41098594371160424</c:v>
                </c:pt>
                <c:pt idx="94">
                  <c:v>0.41695652136202777</c:v>
                </c:pt>
                <c:pt idx="95">
                  <c:v>0.42296043234578451</c:v>
                </c:pt>
                <c:pt idx="96">
                  <c:v>0.42899767666287458</c:v>
                </c:pt>
                <c:pt idx="97">
                  <c:v>0.43506825431329826</c:v>
                </c:pt>
                <c:pt idx="98">
                  <c:v>0.44117216529705483</c:v>
                </c:pt>
                <c:pt idx="99">
                  <c:v>0.44730940961414506</c:v>
                </c:pt>
                <c:pt idx="100">
                  <c:v>0.45347998726456851</c:v>
                </c:pt>
                <c:pt idx="101">
                  <c:v>0.45968389824832523</c:v>
                </c:pt>
                <c:pt idx="102">
                  <c:v>0.46592114256541539</c:v>
                </c:pt>
                <c:pt idx="103">
                  <c:v>0.47219172021583877</c:v>
                </c:pt>
                <c:pt idx="104">
                  <c:v>0.47849563119959571</c:v>
                </c:pt>
                <c:pt idx="105">
                  <c:v>0.4848328755166858</c:v>
                </c:pt>
                <c:pt idx="106">
                  <c:v>0.49120345316710923</c:v>
                </c:pt>
                <c:pt idx="107">
                  <c:v>0.49760736415086598</c:v>
                </c:pt>
                <c:pt idx="108">
                  <c:v>0.50404460846795607</c:v>
                </c:pt>
                <c:pt idx="109">
                  <c:v>0.51051518611837965</c:v>
                </c:pt>
                <c:pt idx="110">
                  <c:v>0.51701909710213645</c:v>
                </c:pt>
                <c:pt idx="111">
                  <c:v>0.52355634141922658</c:v>
                </c:pt>
                <c:pt idx="112">
                  <c:v>0.53012691906965015</c:v>
                </c:pt>
                <c:pt idx="113">
                  <c:v>0.53673083005340683</c:v>
                </c:pt>
                <c:pt idx="114">
                  <c:v>0.54336807437049683</c:v>
                </c:pt>
                <c:pt idx="115">
                  <c:v>0.55003865202092039</c:v>
                </c:pt>
                <c:pt idx="116">
                  <c:v>0.55674256300467717</c:v>
                </c:pt>
                <c:pt idx="117">
                  <c:v>0.56347980732176739</c:v>
                </c:pt>
                <c:pt idx="118">
                  <c:v>0.57025038497219072</c:v>
                </c:pt>
                <c:pt idx="119">
                  <c:v>0.5770542959559477</c:v>
                </c:pt>
                <c:pt idx="120">
                  <c:v>0.5838915402730378</c:v>
                </c:pt>
                <c:pt idx="121">
                  <c:v>0.59076211792346112</c:v>
                </c:pt>
                <c:pt idx="122">
                  <c:v>0.59766602890721787</c:v>
                </c:pt>
                <c:pt idx="123">
                  <c:v>0.60460327322430807</c:v>
                </c:pt>
                <c:pt idx="124">
                  <c:v>0.61157385087473159</c:v>
                </c:pt>
                <c:pt idx="125">
                  <c:v>0.61857776185848845</c:v>
                </c:pt>
                <c:pt idx="126">
                  <c:v>0.62561500617557864</c:v>
                </c:pt>
                <c:pt idx="127">
                  <c:v>0.63268558382600215</c:v>
                </c:pt>
                <c:pt idx="128">
                  <c:v>0.63978949480975866</c:v>
                </c:pt>
                <c:pt idx="129">
                  <c:v>0.64692673912684895</c:v>
                </c:pt>
                <c:pt idx="130">
                  <c:v>0.65409731677727234</c:v>
                </c:pt>
                <c:pt idx="131">
                  <c:v>0.66130122776102906</c:v>
                </c:pt>
                <c:pt idx="132">
                  <c:v>0.66853847207811945</c:v>
                </c:pt>
                <c:pt idx="133">
                  <c:v>0.67580904972854294</c:v>
                </c:pt>
                <c:pt idx="134">
                  <c:v>0.68311296071229965</c:v>
                </c:pt>
                <c:pt idx="135">
                  <c:v>0.6904502050293897</c:v>
                </c:pt>
                <c:pt idx="136">
                  <c:v>0.69782078267981307</c:v>
                </c:pt>
                <c:pt idx="137">
                  <c:v>0.70522469366356977</c:v>
                </c:pt>
                <c:pt idx="138">
                  <c:v>0.71266193798066002</c:v>
                </c:pt>
                <c:pt idx="139">
                  <c:v>0.72013251563108349</c:v>
                </c:pt>
                <c:pt idx="140">
                  <c:v>0.72763642661484029</c:v>
                </c:pt>
                <c:pt idx="141">
                  <c:v>0.73517367093193053</c:v>
                </c:pt>
                <c:pt idx="142">
                  <c:v>0.74274424858235411</c:v>
                </c:pt>
                <c:pt idx="143">
                  <c:v>0.75034815956611056</c:v>
                </c:pt>
                <c:pt idx="144">
                  <c:v>0.75798540388320101</c:v>
                </c:pt>
                <c:pt idx="145">
                  <c:v>0.76565598153362435</c:v>
                </c:pt>
                <c:pt idx="146">
                  <c:v>0.77335989251738113</c:v>
                </c:pt>
                <c:pt idx="147">
                  <c:v>0.78109713683447135</c:v>
                </c:pt>
                <c:pt idx="148">
                  <c:v>0.78886771448489501</c:v>
                </c:pt>
                <c:pt idx="149">
                  <c:v>0.79667162546865156</c:v>
                </c:pt>
                <c:pt idx="150">
                  <c:v>0.80450886978574165</c:v>
                </c:pt>
              </c:numCache>
            </c:numRef>
          </c:yVal>
          <c:smooth val="1"/>
          <c:extLst>
            <c:ext xmlns:c16="http://schemas.microsoft.com/office/drawing/2014/chart" uri="{C3380CC4-5D6E-409C-BE32-E72D297353CC}">
              <c16:uniqueId val="{00000001-199A-4277-BC05-4E64B1A6016C}"/>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Eff_vs_IOUT!$AO$7:$AO$157</c:f>
              <c:numCache>
                <c:formatCode>General</c:formatCode>
                <c:ptCount val="151"/>
                <c:pt idx="0">
                  <c:v>0.16831944444444447</c:v>
                </c:pt>
                <c:pt idx="1">
                  <c:v>0.1690527777777778</c:v>
                </c:pt>
                <c:pt idx="2">
                  <c:v>0.1698527777777778</c:v>
                </c:pt>
                <c:pt idx="3">
                  <c:v>0.17071944444444448</c:v>
                </c:pt>
                <c:pt idx="4">
                  <c:v>0.17165277777777782</c:v>
                </c:pt>
                <c:pt idx="5">
                  <c:v>0.17265277777777779</c:v>
                </c:pt>
                <c:pt idx="6">
                  <c:v>0.17371944444444445</c:v>
                </c:pt>
                <c:pt idx="7">
                  <c:v>0.1748527777777778</c:v>
                </c:pt>
                <c:pt idx="8">
                  <c:v>0.17605277777777781</c:v>
                </c:pt>
                <c:pt idx="9">
                  <c:v>0.17731944444444447</c:v>
                </c:pt>
                <c:pt idx="10">
                  <c:v>0.1786527777777778</c:v>
                </c:pt>
                <c:pt idx="11">
                  <c:v>0.18005277777777781</c:v>
                </c:pt>
                <c:pt idx="12">
                  <c:v>0.18151944444444448</c:v>
                </c:pt>
                <c:pt idx="13">
                  <c:v>0.18305277777777781</c:v>
                </c:pt>
                <c:pt idx="14">
                  <c:v>0.1846527777777778</c:v>
                </c:pt>
                <c:pt idx="15">
                  <c:v>0.18631944444444445</c:v>
                </c:pt>
                <c:pt idx="16">
                  <c:v>0.18805277777777782</c:v>
                </c:pt>
                <c:pt idx="17">
                  <c:v>0.18985277777777781</c:v>
                </c:pt>
                <c:pt idx="18">
                  <c:v>0.19171944444444444</c:v>
                </c:pt>
                <c:pt idx="19">
                  <c:v>0.19365277777777778</c:v>
                </c:pt>
                <c:pt idx="20">
                  <c:v>0.19565277777777779</c:v>
                </c:pt>
                <c:pt idx="21">
                  <c:v>0.19771944444444448</c:v>
                </c:pt>
                <c:pt idx="22">
                  <c:v>0.19985277777777782</c:v>
                </c:pt>
                <c:pt idx="23">
                  <c:v>0.2020527777777778</c:v>
                </c:pt>
                <c:pt idx="24">
                  <c:v>0.20431944444444447</c:v>
                </c:pt>
                <c:pt idx="25">
                  <c:v>0.2066527777777778</c:v>
                </c:pt>
                <c:pt idx="26">
                  <c:v>0.20905277777777781</c:v>
                </c:pt>
                <c:pt idx="27">
                  <c:v>0.21151944444444445</c:v>
                </c:pt>
                <c:pt idx="28">
                  <c:v>0.21405277777777779</c:v>
                </c:pt>
                <c:pt idx="29">
                  <c:v>0.21665277777777781</c:v>
                </c:pt>
                <c:pt idx="30">
                  <c:v>0.21931944444444446</c:v>
                </c:pt>
                <c:pt idx="31">
                  <c:v>0.22205277777777777</c:v>
                </c:pt>
                <c:pt idx="32">
                  <c:v>0.22485277777777779</c:v>
                </c:pt>
                <c:pt idx="33">
                  <c:v>0.22771944444444447</c:v>
                </c:pt>
                <c:pt idx="34">
                  <c:v>0.23065277777777779</c:v>
                </c:pt>
                <c:pt idx="35">
                  <c:v>0.23365277777777776</c:v>
                </c:pt>
                <c:pt idx="36">
                  <c:v>0.23671944444444445</c:v>
                </c:pt>
                <c:pt idx="37">
                  <c:v>0.2398527777777778</c:v>
                </c:pt>
                <c:pt idx="38">
                  <c:v>0.24305277777777778</c:v>
                </c:pt>
                <c:pt idx="39">
                  <c:v>0.24631944444444448</c:v>
                </c:pt>
                <c:pt idx="40">
                  <c:v>0.24965277777777778</c:v>
                </c:pt>
                <c:pt idx="41">
                  <c:v>0.25305277777777779</c:v>
                </c:pt>
                <c:pt idx="42">
                  <c:v>0.25651944444444452</c:v>
                </c:pt>
                <c:pt idx="43">
                  <c:v>0.2600527777777778</c:v>
                </c:pt>
                <c:pt idx="44">
                  <c:v>0.26365277777777779</c:v>
                </c:pt>
                <c:pt idx="45">
                  <c:v>0.26731944444444444</c:v>
                </c:pt>
                <c:pt idx="46">
                  <c:v>0.27105277777777775</c:v>
                </c:pt>
                <c:pt idx="47">
                  <c:v>0.27485277777777783</c:v>
                </c:pt>
                <c:pt idx="48">
                  <c:v>0.27871944444444452</c:v>
                </c:pt>
                <c:pt idx="49">
                  <c:v>0.28265277777777781</c:v>
                </c:pt>
                <c:pt idx="50">
                  <c:v>0.28665277777777781</c:v>
                </c:pt>
                <c:pt idx="51">
                  <c:v>0.29071944444444442</c:v>
                </c:pt>
                <c:pt idx="52">
                  <c:v>0.29485277777777785</c:v>
                </c:pt>
                <c:pt idx="53">
                  <c:v>0.29905277777777783</c:v>
                </c:pt>
                <c:pt idx="54">
                  <c:v>0.30331944444444447</c:v>
                </c:pt>
                <c:pt idx="55">
                  <c:v>0.30765277777777783</c:v>
                </c:pt>
                <c:pt idx="56">
                  <c:v>0.31205277777777785</c:v>
                </c:pt>
                <c:pt idx="57">
                  <c:v>0.31651944444444441</c:v>
                </c:pt>
                <c:pt idx="58">
                  <c:v>0.3210527777777778</c:v>
                </c:pt>
                <c:pt idx="59">
                  <c:v>0.32565277777777779</c:v>
                </c:pt>
                <c:pt idx="60">
                  <c:v>0.3303194444444445</c:v>
                </c:pt>
                <c:pt idx="61">
                  <c:v>0.33505277777777775</c:v>
                </c:pt>
                <c:pt idx="62">
                  <c:v>0.33985277777777773</c:v>
                </c:pt>
                <c:pt idx="63">
                  <c:v>0.34471944444444447</c:v>
                </c:pt>
                <c:pt idx="64">
                  <c:v>0.34965277777777776</c:v>
                </c:pt>
                <c:pt idx="65">
                  <c:v>0.35465277777777782</c:v>
                </c:pt>
                <c:pt idx="66">
                  <c:v>0.35971944444444459</c:v>
                </c:pt>
                <c:pt idx="67">
                  <c:v>0.36485277777777786</c:v>
                </c:pt>
                <c:pt idx="68">
                  <c:v>0.37005277777777779</c:v>
                </c:pt>
                <c:pt idx="69">
                  <c:v>0.37531944444444443</c:v>
                </c:pt>
                <c:pt idx="70">
                  <c:v>0.38065277777777778</c:v>
                </c:pt>
                <c:pt idx="71">
                  <c:v>0.38605277777777786</c:v>
                </c:pt>
                <c:pt idx="72">
                  <c:v>0.39151944444444442</c:v>
                </c:pt>
                <c:pt idx="73">
                  <c:v>0.39705277777777781</c:v>
                </c:pt>
                <c:pt idx="74">
                  <c:v>0.4026527777777778</c:v>
                </c:pt>
                <c:pt idx="75">
                  <c:v>0.4083194444444444</c:v>
                </c:pt>
                <c:pt idx="76">
                  <c:v>0.41405277777777771</c:v>
                </c:pt>
                <c:pt idx="77">
                  <c:v>0.41985277777777769</c:v>
                </c:pt>
                <c:pt idx="78">
                  <c:v>0.42571944444444443</c:v>
                </c:pt>
                <c:pt idx="79">
                  <c:v>0.43165277777777777</c:v>
                </c:pt>
                <c:pt idx="80">
                  <c:v>0.43765277777777772</c:v>
                </c:pt>
                <c:pt idx="81">
                  <c:v>0.4437194444444445</c:v>
                </c:pt>
                <c:pt idx="82">
                  <c:v>0.44985277777777777</c:v>
                </c:pt>
                <c:pt idx="83">
                  <c:v>0.45605277777777781</c:v>
                </c:pt>
                <c:pt idx="84">
                  <c:v>0.46231944444444445</c:v>
                </c:pt>
                <c:pt idx="85">
                  <c:v>0.46865277777777775</c:v>
                </c:pt>
                <c:pt idx="86">
                  <c:v>0.47505277777777777</c:v>
                </c:pt>
                <c:pt idx="87">
                  <c:v>0.48151944444444433</c:v>
                </c:pt>
                <c:pt idx="88">
                  <c:v>0.48805277777777767</c:v>
                </c:pt>
                <c:pt idx="89">
                  <c:v>0.49465277777777783</c:v>
                </c:pt>
                <c:pt idx="90">
                  <c:v>0.50131944444444454</c:v>
                </c:pt>
                <c:pt idx="91">
                  <c:v>0.50805277777777758</c:v>
                </c:pt>
                <c:pt idx="92">
                  <c:v>0.51485277777777771</c:v>
                </c:pt>
                <c:pt idx="93">
                  <c:v>0.52171944444444451</c:v>
                </c:pt>
                <c:pt idx="94">
                  <c:v>0.52865277777777775</c:v>
                </c:pt>
                <c:pt idx="95">
                  <c:v>0.53565277777777776</c:v>
                </c:pt>
                <c:pt idx="96">
                  <c:v>0.54271944444444442</c:v>
                </c:pt>
                <c:pt idx="97">
                  <c:v>0.54985277777777797</c:v>
                </c:pt>
                <c:pt idx="98">
                  <c:v>0.55705277777777773</c:v>
                </c:pt>
                <c:pt idx="99">
                  <c:v>0.56431944444444448</c:v>
                </c:pt>
                <c:pt idx="100">
                  <c:v>0.57165277777777779</c:v>
                </c:pt>
                <c:pt idx="101">
                  <c:v>0.57905277777777775</c:v>
                </c:pt>
                <c:pt idx="102">
                  <c:v>0.58651944444444437</c:v>
                </c:pt>
                <c:pt idx="103">
                  <c:v>0.59405277777777776</c:v>
                </c:pt>
                <c:pt idx="104">
                  <c:v>0.6016527777777777</c:v>
                </c:pt>
                <c:pt idx="105">
                  <c:v>0.60931944444444441</c:v>
                </c:pt>
                <c:pt idx="106">
                  <c:v>0.61705277777777778</c:v>
                </c:pt>
                <c:pt idx="107">
                  <c:v>0.62485277777777748</c:v>
                </c:pt>
                <c:pt idx="108">
                  <c:v>0.63271944444444428</c:v>
                </c:pt>
                <c:pt idx="109">
                  <c:v>0.64065277777777774</c:v>
                </c:pt>
                <c:pt idx="110">
                  <c:v>0.64865277777777774</c:v>
                </c:pt>
                <c:pt idx="111">
                  <c:v>0.65671944444444452</c:v>
                </c:pt>
                <c:pt idx="112">
                  <c:v>0.66485277777777785</c:v>
                </c:pt>
                <c:pt idx="113">
                  <c:v>0.67305277777777772</c:v>
                </c:pt>
                <c:pt idx="114">
                  <c:v>0.68131944444444414</c:v>
                </c:pt>
                <c:pt idx="115">
                  <c:v>0.68965277777777767</c:v>
                </c:pt>
                <c:pt idx="116">
                  <c:v>0.69805277777777774</c:v>
                </c:pt>
                <c:pt idx="117">
                  <c:v>0.70651944444444437</c:v>
                </c:pt>
                <c:pt idx="118">
                  <c:v>0.71505277777777765</c:v>
                </c:pt>
                <c:pt idx="119">
                  <c:v>0.72365277777777781</c:v>
                </c:pt>
                <c:pt idx="120">
                  <c:v>0.7323194444444443</c:v>
                </c:pt>
                <c:pt idx="121">
                  <c:v>0.74105277777777767</c:v>
                </c:pt>
                <c:pt idx="122">
                  <c:v>0.74985277777777748</c:v>
                </c:pt>
                <c:pt idx="123">
                  <c:v>0.75871944444444428</c:v>
                </c:pt>
                <c:pt idx="124">
                  <c:v>0.76765277777777763</c:v>
                </c:pt>
                <c:pt idx="125">
                  <c:v>0.77665277777777786</c:v>
                </c:pt>
                <c:pt idx="126">
                  <c:v>0.78571944444444464</c:v>
                </c:pt>
                <c:pt idx="127">
                  <c:v>0.79485277777777763</c:v>
                </c:pt>
                <c:pt idx="128">
                  <c:v>0.80405277777777773</c:v>
                </c:pt>
                <c:pt idx="129">
                  <c:v>0.81331944444444415</c:v>
                </c:pt>
                <c:pt idx="130">
                  <c:v>0.82265277777777779</c:v>
                </c:pt>
                <c:pt idx="131">
                  <c:v>0.83205277777777775</c:v>
                </c:pt>
                <c:pt idx="132">
                  <c:v>0.8415194444444446</c:v>
                </c:pt>
                <c:pt idx="133">
                  <c:v>0.85105277777777799</c:v>
                </c:pt>
                <c:pt idx="134">
                  <c:v>0.86065277777777771</c:v>
                </c:pt>
                <c:pt idx="135">
                  <c:v>0.87031944444444442</c:v>
                </c:pt>
                <c:pt idx="136">
                  <c:v>0.88005277777777779</c:v>
                </c:pt>
                <c:pt idx="137">
                  <c:v>0.88985277777777738</c:v>
                </c:pt>
                <c:pt idx="138">
                  <c:v>0.89971944444444441</c:v>
                </c:pt>
                <c:pt idx="139">
                  <c:v>0.90965277777777764</c:v>
                </c:pt>
                <c:pt idx="140">
                  <c:v>0.91965277777777754</c:v>
                </c:pt>
                <c:pt idx="141">
                  <c:v>0.92971944444444443</c:v>
                </c:pt>
                <c:pt idx="142">
                  <c:v>0.93985277777777776</c:v>
                </c:pt>
                <c:pt idx="143">
                  <c:v>0.95005277777777775</c:v>
                </c:pt>
                <c:pt idx="144">
                  <c:v>0.96031944444444439</c:v>
                </c:pt>
                <c:pt idx="145">
                  <c:v>0.97065277777777803</c:v>
                </c:pt>
                <c:pt idx="146">
                  <c:v>0.981052777777778</c:v>
                </c:pt>
                <c:pt idx="147">
                  <c:v>0.9915194444444444</c:v>
                </c:pt>
                <c:pt idx="148">
                  <c:v>1.0020527777777781</c:v>
                </c:pt>
                <c:pt idx="149">
                  <c:v>1.0126527777777778</c:v>
                </c:pt>
                <c:pt idx="150">
                  <c:v>1.0233194444444447</c:v>
                </c:pt>
              </c:numCache>
            </c:numRef>
          </c:yVal>
          <c:smooth val="1"/>
          <c:extLst>
            <c:ext xmlns:c16="http://schemas.microsoft.com/office/drawing/2014/chart" uri="{C3380CC4-5D6E-409C-BE32-E72D297353CC}">
              <c16:uniqueId val="{00000002-199A-4277-BC05-4E64B1A6016C}"/>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Eff_vs_IOUT!$AP$7:$AP$157</c:f>
              <c:numCache>
                <c:formatCode>General</c:formatCode>
                <c:ptCount val="151"/>
                <c:pt idx="0">
                  <c:v>1.3973333333333335E-3</c:v>
                </c:pt>
                <c:pt idx="1">
                  <c:v>1.4137083333333334E-3</c:v>
                </c:pt>
                <c:pt idx="2">
                  <c:v>1.4628333333333338E-3</c:v>
                </c:pt>
                <c:pt idx="3">
                  <c:v>1.5447083333333337E-3</c:v>
                </c:pt>
                <c:pt idx="4">
                  <c:v>1.6593333333333334E-3</c:v>
                </c:pt>
                <c:pt idx="5">
                  <c:v>1.8067083333333338E-3</c:v>
                </c:pt>
                <c:pt idx="6">
                  <c:v>1.9868333333333335E-3</c:v>
                </c:pt>
                <c:pt idx="7">
                  <c:v>2.1997083333333339E-3</c:v>
                </c:pt>
                <c:pt idx="8">
                  <c:v>2.4453333333333328E-3</c:v>
                </c:pt>
                <c:pt idx="9">
                  <c:v>2.7237083333333332E-3</c:v>
                </c:pt>
                <c:pt idx="10">
                  <c:v>3.034833333333333E-3</c:v>
                </c:pt>
                <c:pt idx="11">
                  <c:v>3.3787083333333338E-3</c:v>
                </c:pt>
                <c:pt idx="12">
                  <c:v>3.7553333333333323E-3</c:v>
                </c:pt>
                <c:pt idx="13">
                  <c:v>4.1647083333333345E-3</c:v>
                </c:pt>
                <c:pt idx="14">
                  <c:v>4.6068333333333334E-3</c:v>
                </c:pt>
                <c:pt idx="15">
                  <c:v>5.081708333333333E-3</c:v>
                </c:pt>
                <c:pt idx="16">
                  <c:v>5.5893333333333324E-3</c:v>
                </c:pt>
                <c:pt idx="17">
                  <c:v>6.1297083333333325E-3</c:v>
                </c:pt>
                <c:pt idx="18">
                  <c:v>6.7028333333333306E-3</c:v>
                </c:pt>
                <c:pt idx="19">
                  <c:v>7.3087083333333303E-3</c:v>
                </c:pt>
                <c:pt idx="20">
                  <c:v>7.947333333333334E-3</c:v>
                </c:pt>
                <c:pt idx="21">
                  <c:v>8.6187083333333324E-3</c:v>
                </c:pt>
                <c:pt idx="22">
                  <c:v>9.3228333333333323E-3</c:v>
                </c:pt>
                <c:pt idx="23">
                  <c:v>1.005970833333333E-2</c:v>
                </c:pt>
                <c:pt idx="24">
                  <c:v>1.0829333333333331E-2</c:v>
                </c:pt>
                <c:pt idx="25">
                  <c:v>1.1631708333333334E-2</c:v>
                </c:pt>
                <c:pt idx="26">
                  <c:v>1.2466833333333335E-2</c:v>
                </c:pt>
                <c:pt idx="27">
                  <c:v>1.3334708333333329E-2</c:v>
                </c:pt>
                <c:pt idx="28">
                  <c:v>1.4235333333333334E-2</c:v>
                </c:pt>
                <c:pt idx="29">
                  <c:v>1.5168708333333333E-2</c:v>
                </c:pt>
                <c:pt idx="30">
                  <c:v>1.6134833333333331E-2</c:v>
                </c:pt>
                <c:pt idx="31">
                  <c:v>1.7133708333333327E-2</c:v>
                </c:pt>
                <c:pt idx="32">
                  <c:v>1.8165333333333328E-2</c:v>
                </c:pt>
                <c:pt idx="33">
                  <c:v>1.9229708333333335E-2</c:v>
                </c:pt>
                <c:pt idx="34">
                  <c:v>2.0326833333333325E-2</c:v>
                </c:pt>
                <c:pt idx="35">
                  <c:v>2.1456708333333331E-2</c:v>
                </c:pt>
                <c:pt idx="36">
                  <c:v>2.2619333333333332E-2</c:v>
                </c:pt>
                <c:pt idx="37">
                  <c:v>2.3814708333333341E-2</c:v>
                </c:pt>
                <c:pt idx="38">
                  <c:v>2.5042833333333327E-2</c:v>
                </c:pt>
                <c:pt idx="39">
                  <c:v>2.6303708333333342E-2</c:v>
                </c:pt>
                <c:pt idx="40">
                  <c:v>2.7597333333333321E-2</c:v>
                </c:pt>
                <c:pt idx="41">
                  <c:v>2.8923708333333336E-2</c:v>
                </c:pt>
                <c:pt idx="42">
                  <c:v>3.0282833333333335E-2</c:v>
                </c:pt>
                <c:pt idx="43">
                  <c:v>3.1674708333333322E-2</c:v>
                </c:pt>
                <c:pt idx="44">
                  <c:v>3.3099333333333321E-2</c:v>
                </c:pt>
                <c:pt idx="45">
                  <c:v>3.4556708333333332E-2</c:v>
                </c:pt>
                <c:pt idx="46">
                  <c:v>3.6046833333333313E-2</c:v>
                </c:pt>
                <c:pt idx="47">
                  <c:v>3.7569708333333333E-2</c:v>
                </c:pt>
                <c:pt idx="48">
                  <c:v>3.9125333333333324E-2</c:v>
                </c:pt>
                <c:pt idx="49">
                  <c:v>4.0713708333333321E-2</c:v>
                </c:pt>
                <c:pt idx="50">
                  <c:v>4.2334833333333335E-2</c:v>
                </c:pt>
                <c:pt idx="51">
                  <c:v>4.3988708333333321E-2</c:v>
                </c:pt>
                <c:pt idx="52">
                  <c:v>4.5675333333333339E-2</c:v>
                </c:pt>
                <c:pt idx="53">
                  <c:v>4.7394708333333327E-2</c:v>
                </c:pt>
                <c:pt idx="54">
                  <c:v>4.914683333333332E-2</c:v>
                </c:pt>
                <c:pt idx="55">
                  <c:v>5.0931708333333332E-2</c:v>
                </c:pt>
                <c:pt idx="56">
                  <c:v>5.2749333333333336E-2</c:v>
                </c:pt>
                <c:pt idx="57">
                  <c:v>5.4599708333333316E-2</c:v>
                </c:pt>
                <c:pt idx="58">
                  <c:v>5.6482833333333329E-2</c:v>
                </c:pt>
                <c:pt idx="59">
                  <c:v>5.8398708333333306E-2</c:v>
                </c:pt>
                <c:pt idx="60">
                  <c:v>6.0347333333333322E-2</c:v>
                </c:pt>
                <c:pt idx="61">
                  <c:v>6.2328708333333302E-2</c:v>
                </c:pt>
                <c:pt idx="62">
                  <c:v>6.4342833333333307E-2</c:v>
                </c:pt>
                <c:pt idx="63">
                  <c:v>6.6389708333333339E-2</c:v>
                </c:pt>
                <c:pt idx="64">
                  <c:v>6.8469333333333313E-2</c:v>
                </c:pt>
                <c:pt idx="65">
                  <c:v>7.0581708333333326E-2</c:v>
                </c:pt>
                <c:pt idx="66">
                  <c:v>7.2726833333333338E-2</c:v>
                </c:pt>
                <c:pt idx="67">
                  <c:v>7.490470833333332E-2</c:v>
                </c:pt>
                <c:pt idx="68">
                  <c:v>7.71153333333333E-2</c:v>
                </c:pt>
                <c:pt idx="69">
                  <c:v>7.9358708333333305E-2</c:v>
                </c:pt>
                <c:pt idx="70">
                  <c:v>8.1634833333333323E-2</c:v>
                </c:pt>
                <c:pt idx="71">
                  <c:v>8.3943708333333339E-2</c:v>
                </c:pt>
                <c:pt idx="72">
                  <c:v>8.6285333333333311E-2</c:v>
                </c:pt>
                <c:pt idx="73">
                  <c:v>8.8659708333333323E-2</c:v>
                </c:pt>
                <c:pt idx="74">
                  <c:v>9.1066833333333347E-2</c:v>
                </c:pt>
                <c:pt idx="75">
                  <c:v>9.3506708333333313E-2</c:v>
                </c:pt>
                <c:pt idx="76">
                  <c:v>9.5979333333333278E-2</c:v>
                </c:pt>
                <c:pt idx="77">
                  <c:v>9.848470833333331E-2</c:v>
                </c:pt>
                <c:pt idx="78">
                  <c:v>0.10102283333333335</c:v>
                </c:pt>
                <c:pt idx="79">
                  <c:v>0.1035937083333333</c:v>
                </c:pt>
                <c:pt idx="80">
                  <c:v>0.10619733333333334</c:v>
                </c:pt>
                <c:pt idx="81">
                  <c:v>0.10883370833333335</c:v>
                </c:pt>
                <c:pt idx="82">
                  <c:v>0.11150283333333337</c:v>
                </c:pt>
                <c:pt idx="83">
                  <c:v>0.11420470833333334</c:v>
                </c:pt>
                <c:pt idx="84">
                  <c:v>0.11693933333333334</c:v>
                </c:pt>
                <c:pt idx="85">
                  <c:v>0.11970670833333331</c:v>
                </c:pt>
                <c:pt idx="86">
                  <c:v>0.12250683333333334</c:v>
                </c:pt>
                <c:pt idx="87">
                  <c:v>0.12533970833333333</c:v>
                </c:pt>
                <c:pt idx="88">
                  <c:v>0.12820533333333328</c:v>
                </c:pt>
                <c:pt idx="89">
                  <c:v>0.13110370833333332</c:v>
                </c:pt>
                <c:pt idx="90">
                  <c:v>0.13403483333333333</c:v>
                </c:pt>
                <c:pt idx="91">
                  <c:v>0.1369987083333333</c:v>
                </c:pt>
                <c:pt idx="92">
                  <c:v>0.13999533333333333</c:v>
                </c:pt>
                <c:pt idx="93">
                  <c:v>0.14302470833333333</c:v>
                </c:pt>
                <c:pt idx="94">
                  <c:v>0.14608683333333336</c:v>
                </c:pt>
                <c:pt idx="95">
                  <c:v>0.14918170833333333</c:v>
                </c:pt>
                <c:pt idx="96">
                  <c:v>0.15230933333333335</c:v>
                </c:pt>
                <c:pt idx="97">
                  <c:v>0.15546970833333335</c:v>
                </c:pt>
                <c:pt idx="98">
                  <c:v>0.15866283333333328</c:v>
                </c:pt>
                <c:pt idx="99">
                  <c:v>0.16188870833333333</c:v>
                </c:pt>
                <c:pt idx="100">
                  <c:v>0.16514733333333334</c:v>
                </c:pt>
                <c:pt idx="101">
                  <c:v>0.16843870833333333</c:v>
                </c:pt>
                <c:pt idx="102">
                  <c:v>0.17176283333333331</c:v>
                </c:pt>
                <c:pt idx="103">
                  <c:v>0.17511970833333332</c:v>
                </c:pt>
                <c:pt idx="104">
                  <c:v>0.17850933333333333</c:v>
                </c:pt>
                <c:pt idx="105">
                  <c:v>0.1819317083333333</c:v>
                </c:pt>
                <c:pt idx="106">
                  <c:v>0.18538683333333333</c:v>
                </c:pt>
                <c:pt idx="107">
                  <c:v>0.18887470833333328</c:v>
                </c:pt>
                <c:pt idx="108">
                  <c:v>0.19239533333333328</c:v>
                </c:pt>
                <c:pt idx="109">
                  <c:v>0.19594870833333336</c:v>
                </c:pt>
                <c:pt idx="110">
                  <c:v>0.19953483333333333</c:v>
                </c:pt>
                <c:pt idx="111">
                  <c:v>0.20315370833333335</c:v>
                </c:pt>
                <c:pt idx="112">
                  <c:v>0.20680533333333337</c:v>
                </c:pt>
                <c:pt idx="113">
                  <c:v>0.21048970833333325</c:v>
                </c:pt>
                <c:pt idx="114">
                  <c:v>0.21420683333333326</c:v>
                </c:pt>
                <c:pt idx="115">
                  <c:v>0.2179567083333333</c:v>
                </c:pt>
                <c:pt idx="116">
                  <c:v>0.22173933333333326</c:v>
                </c:pt>
                <c:pt idx="117">
                  <c:v>0.22555470833333333</c:v>
                </c:pt>
                <c:pt idx="118">
                  <c:v>0.22940283333333328</c:v>
                </c:pt>
                <c:pt idx="119">
                  <c:v>0.23328370833333337</c:v>
                </c:pt>
                <c:pt idx="120">
                  <c:v>0.23719733333333329</c:v>
                </c:pt>
                <c:pt idx="121">
                  <c:v>0.24114370833333329</c:v>
                </c:pt>
                <c:pt idx="122">
                  <c:v>0.24512283333333321</c:v>
                </c:pt>
                <c:pt idx="123">
                  <c:v>0.24913470833333323</c:v>
                </c:pt>
                <c:pt idx="124">
                  <c:v>0.25317933333333326</c:v>
                </c:pt>
                <c:pt idx="125">
                  <c:v>0.25725670833333331</c:v>
                </c:pt>
                <c:pt idx="126">
                  <c:v>0.26136683333333333</c:v>
                </c:pt>
                <c:pt idx="127">
                  <c:v>0.26550970833333332</c:v>
                </c:pt>
                <c:pt idx="128">
                  <c:v>0.26968533333333328</c:v>
                </c:pt>
                <c:pt idx="129">
                  <c:v>0.27389370833333326</c:v>
                </c:pt>
                <c:pt idx="130">
                  <c:v>0.27813483333333333</c:v>
                </c:pt>
                <c:pt idx="131">
                  <c:v>0.28240870833333331</c:v>
                </c:pt>
                <c:pt idx="132">
                  <c:v>0.28671533333333338</c:v>
                </c:pt>
                <c:pt idx="133">
                  <c:v>0.29105470833333341</c:v>
                </c:pt>
                <c:pt idx="134">
                  <c:v>0.29542683333333325</c:v>
                </c:pt>
                <c:pt idx="135">
                  <c:v>0.29983170833333322</c:v>
                </c:pt>
                <c:pt idx="136">
                  <c:v>0.30426933333333328</c:v>
                </c:pt>
                <c:pt idx="137">
                  <c:v>0.3087397083333332</c:v>
                </c:pt>
                <c:pt idx="138">
                  <c:v>0.31324283333333325</c:v>
                </c:pt>
                <c:pt idx="139">
                  <c:v>0.31777870833333327</c:v>
                </c:pt>
                <c:pt idx="140">
                  <c:v>0.32234733333333326</c:v>
                </c:pt>
                <c:pt idx="141">
                  <c:v>0.32694870833333328</c:v>
                </c:pt>
                <c:pt idx="142">
                  <c:v>0.33158283333333338</c:v>
                </c:pt>
                <c:pt idx="143">
                  <c:v>0.33624970833333323</c:v>
                </c:pt>
                <c:pt idx="144">
                  <c:v>0.34094933333333322</c:v>
                </c:pt>
                <c:pt idx="145">
                  <c:v>0.34568170833333323</c:v>
                </c:pt>
                <c:pt idx="146">
                  <c:v>0.35044683333333321</c:v>
                </c:pt>
                <c:pt idx="147">
                  <c:v>0.35524470833333327</c:v>
                </c:pt>
                <c:pt idx="148">
                  <c:v>0.36007533333333341</c:v>
                </c:pt>
                <c:pt idx="149">
                  <c:v>0.36493870833333336</c:v>
                </c:pt>
                <c:pt idx="150">
                  <c:v>0.36983483333333333</c:v>
                </c:pt>
              </c:numCache>
            </c:numRef>
          </c:yVal>
          <c:smooth val="1"/>
          <c:extLst>
            <c:ext xmlns:c16="http://schemas.microsoft.com/office/drawing/2014/chart" uri="{C3380CC4-5D6E-409C-BE32-E72D297353CC}">
              <c16:uniqueId val="{00000003-199A-4277-BC05-4E64B1A6016C}"/>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[1]Eff_vs_IOUT!$AW$7:$AW$157</c:f>
              <c:numCache>
                <c:formatCode>General</c:formatCode>
                <c:ptCount val="151"/>
                <c:pt idx="0">
                  <c:v>0</c:v>
                </c:pt>
                <c:pt idx="1">
                  <c:v>72.074743546197936</c:v>
                </c:pt>
                <c:pt idx="2">
                  <c:v>83.278946320422875</c:v>
                </c:pt>
                <c:pt idx="3">
                  <c:v>87.823398093854962</c:v>
                </c:pt>
                <c:pt idx="4">
                  <c:v>90.281532425115813</c:v>
                </c:pt>
                <c:pt idx="5">
                  <c:v>91.819206893500748</c:v>
                </c:pt>
                <c:pt idx="6">
                  <c:v>92.870019459561121</c:v>
                </c:pt>
                <c:pt idx="7">
                  <c:v>93.632190379295068</c:v>
                </c:pt>
                <c:pt idx="8">
                  <c:v>94.209194553124718</c:v>
                </c:pt>
                <c:pt idx="9">
                  <c:v>94.660327183697774</c:v>
                </c:pt>
                <c:pt idx="10">
                  <c:v>95.022008446023904</c:v>
                </c:pt>
                <c:pt idx="11">
                  <c:v>95.317844151427352</c:v>
                </c:pt>
                <c:pt idx="12">
                  <c:v>95.563805969178546</c:v>
                </c:pt>
                <c:pt idx="13">
                  <c:v>95.771086688792309</c:v>
                </c:pt>
                <c:pt idx="14">
                  <c:v>95.947763185503092</c:v>
                </c:pt>
                <c:pt idx="15">
                  <c:v>96.099810151145334</c:v>
                </c:pt>
                <c:pt idx="16">
                  <c:v>96.231742235239238</c:v>
                </c:pt>
                <c:pt idx="17">
                  <c:v>96.347034357137446</c:v>
                </c:pt>
                <c:pt idx="18">
                  <c:v>96.448404725179344</c:v>
                </c:pt>
                <c:pt idx="19">
                  <c:v>96.538010182006872</c:v>
                </c:pt>
                <c:pt idx="20">
                  <c:v>96.617584006656713</c:v>
                </c:pt>
                <c:pt idx="21">
                  <c:v>96.688535023683485</c:v>
                </c:pt>
                <c:pt idx="22">
                  <c:v>96.752020127868875</c:v>
                </c:pt>
                <c:pt idx="23">
                  <c:v>96.808998187822311</c:v>
                </c:pt>
                <c:pt idx="24">
                  <c:v>96.860270677489993</c:v>
                </c:pt>
                <c:pt idx="25">
                  <c:v>96.906512697769813</c:v>
                </c:pt>
                <c:pt idx="26">
                  <c:v>96.948296939349646</c:v>
                </c:pt>
                <c:pt idx="27">
                  <c:v>96.986112392178498</c:v>
                </c:pt>
                <c:pt idx="28">
                  <c:v>97.020379097850068</c:v>
                </c:pt>
                <c:pt idx="29">
                  <c:v>97.051459888071491</c:v>
                </c:pt>
                <c:pt idx="30">
                  <c:v>97.079669803929562</c:v>
                </c:pt>
                <c:pt idx="31">
                  <c:v>97.10528371349254</c:v>
                </c:pt>
                <c:pt idx="32">
                  <c:v>97.1285425173742</c:v>
                </c:pt>
                <c:pt idx="33">
                  <c:v>97.149658238475084</c:v>
                </c:pt>
                <c:pt idx="34">
                  <c:v>97.168818223165886</c:v>
                </c:pt>
                <c:pt idx="35">
                  <c:v>97.18618862977246</c:v>
                </c:pt>
                <c:pt idx="36">
                  <c:v>97.201917341538817</c:v>
                </c:pt>
                <c:pt idx="37">
                  <c:v>97.216136411876164</c:v>
                </c:pt>
                <c:pt idx="38">
                  <c:v>97.228964127228892</c:v>
                </c:pt>
                <c:pt idx="39">
                  <c:v>97.240506755547358</c:v>
                </c:pt>
                <c:pt idx="40">
                  <c:v>97.250860034884298</c:v>
                </c:pt>
                <c:pt idx="41">
                  <c:v>97.260110446088532</c:v>
                </c:pt>
                <c:pt idx="42">
                  <c:v>97.268336305266828</c:v>
                </c:pt>
                <c:pt idx="43">
                  <c:v>97.275608705104659</c:v>
                </c:pt>
                <c:pt idx="44">
                  <c:v>97.281992328891221</c:v>
                </c:pt>
                <c:pt idx="45">
                  <c:v>97.287546156889562</c:v>
                </c:pt>
                <c:pt idx="46">
                  <c:v>97.29232408130369</c:v>
                </c:pt>
                <c:pt idx="47">
                  <c:v>97.296375443350129</c:v>
                </c:pt>
                <c:pt idx="48">
                  <c:v>97.299745503707015</c:v>
                </c:pt>
                <c:pt idx="49">
                  <c:v>97.302475855787279</c:v>
                </c:pt>
                <c:pt idx="50">
                  <c:v>97.304604789781806</c:v>
                </c:pt>
                <c:pt idx="51">
                  <c:v>97.306167614181433</c:v>
                </c:pt>
                <c:pt idx="52">
                  <c:v>97.30719694046121</c:v>
                </c:pt>
                <c:pt idx="53">
                  <c:v>97.307722935758818</c:v>
                </c:pt>
                <c:pt idx="54">
                  <c:v>97.307773547667992</c:v>
                </c:pt>
                <c:pt idx="55">
                  <c:v>97.307374704672227</c:v>
                </c:pt>
                <c:pt idx="56">
                  <c:v>97.306550495243812</c:v>
                </c:pt>
                <c:pt idx="57">
                  <c:v>97.305323328211514</c:v>
                </c:pt>
                <c:pt idx="58">
                  <c:v>97.303714076643189</c:v>
                </c:pt>
                <c:pt idx="59">
                  <c:v>97.301742207187147</c:v>
                </c:pt>
                <c:pt idx="60">
                  <c:v>97.299425896558276</c:v>
                </c:pt>
                <c:pt idx="61">
                  <c:v>97.296782136635429</c:v>
                </c:pt>
                <c:pt idx="62">
                  <c:v>97.293826829448079</c:v>
                </c:pt>
                <c:pt idx="63">
                  <c:v>97.290574873169362</c:v>
                </c:pt>
                <c:pt idx="64">
                  <c:v>97.287040240093262</c:v>
                </c:pt>
                <c:pt idx="65">
                  <c:v>97.283236047454679</c:v>
                </c:pt>
                <c:pt idx="66">
                  <c:v>97.279174621846934</c:v>
                </c:pt>
                <c:pt idx="67">
                  <c:v>97.274867557902127</c:v>
                </c:pt>
                <c:pt idx="68">
                  <c:v>97.270325771821732</c:v>
                </c:pt>
                <c:pt idx="69">
                  <c:v>97.265559550277132</c:v>
                </c:pt>
                <c:pt idx="70">
                  <c:v>97.260578595140458</c:v>
                </c:pt>
                <c:pt idx="71">
                  <c:v>97.255392064455208</c:v>
                </c:pt>
                <c:pt idx="72">
                  <c:v>97.250008610009715</c:v>
                </c:pt>
                <c:pt idx="73">
                  <c:v>97.244436411838009</c:v>
                </c:pt>
                <c:pt idx="74">
                  <c:v>97.238683209937207</c:v>
                </c:pt>
                <c:pt idx="75">
                  <c:v>97.232756333459918</c:v>
                </c:pt>
                <c:pt idx="76">
                  <c:v>97.226662727613117</c:v>
                </c:pt>
                <c:pt idx="77">
                  <c:v>97.220408978470843</c:v>
                </c:pt>
                <c:pt idx="78">
                  <c:v>97.214001335887403</c:v>
                </c:pt>
                <c:pt idx="79">
                  <c:v>97.20744573467833</c:v>
                </c:pt>
                <c:pt idx="80">
                  <c:v>97.200747814220009</c:v>
                </c:pt>
                <c:pt idx="81">
                  <c:v>97.19391293660415</c:v>
                </c:pt>
                <c:pt idx="82">
                  <c:v>97.186946203469688</c:v>
                </c:pt>
                <c:pt idx="83">
                  <c:v>97.179852471623491</c:v>
                </c:pt>
                <c:pt idx="84">
                  <c:v>97.172636367549998</c:v>
                </c:pt>
                <c:pt idx="85">
                  <c:v>97.165302300901175</c:v>
                </c:pt>
                <c:pt idx="86">
                  <c:v>97.157854477049284</c:v>
                </c:pt>
                <c:pt idx="87">
                  <c:v>97.150296908777591</c:v>
                </c:pt>
                <c:pt idx="88">
                  <c:v>97.142633427177358</c:v>
                </c:pt>
                <c:pt idx="89">
                  <c:v>97.13486769181317</c:v>
                </c:pt>
                <c:pt idx="90">
                  <c:v>97.127003200213366</c:v>
                </c:pt>
                <c:pt idx="91">
                  <c:v>97.119043296737274</c:v>
                </c:pt>
                <c:pt idx="92">
                  <c:v>97.110991180866407</c:v>
                </c:pt>
                <c:pt idx="93">
                  <c:v>97.102849914962846</c:v>
                </c:pt>
                <c:pt idx="94">
                  <c:v>97.094622431534489</c:v>
                </c:pt>
                <c:pt idx="95">
                  <c:v>97.086311540042971</c:v>
                </c:pt>
                <c:pt idx="96">
                  <c:v>97.07791993328793</c:v>
                </c:pt>
                <c:pt idx="97">
                  <c:v>97.069450193397714</c:v>
                </c:pt>
                <c:pt idx="98">
                  <c:v>97.060904797454839</c:v>
                </c:pt>
                <c:pt idx="99">
                  <c:v>97.052286122781609</c:v>
                </c:pt>
                <c:pt idx="100">
                  <c:v>97.043596451909877</c:v>
                </c:pt>
                <c:pt idx="101">
                  <c:v>97.034837977256586</c:v>
                </c:pt>
                <c:pt idx="102">
                  <c:v>97.02601280552534</c:v>
                </c:pt>
                <c:pt idx="103">
                  <c:v>97.01712296185238</c:v>
                </c:pt>
                <c:pt idx="104">
                  <c:v>97.008170393714295</c:v>
                </c:pt>
                <c:pt idx="105">
                  <c:v>96.999156974613214</c:v>
                </c:pt>
                <c:pt idx="106">
                  <c:v>96.990084507554101</c:v>
                </c:pt>
                <c:pt idx="107">
                  <c:v>96.980954728327688</c:v>
                </c:pt>
                <c:pt idx="108">
                  <c:v>96.971769308611755</c:v>
                </c:pt>
                <c:pt idx="109">
                  <c:v>96.962529858902172</c:v>
                </c:pt>
                <c:pt idx="110">
                  <c:v>96.953237931284619</c:v>
                </c:pt>
                <c:pt idx="111">
                  <c:v>96.943895022057049</c:v>
                </c:pt>
                <c:pt idx="112">
                  <c:v>96.934502574212033</c:v>
                </c:pt>
                <c:pt idx="113">
                  <c:v>96.925061979787714</c:v>
                </c:pt>
                <c:pt idx="114">
                  <c:v>96.91557458209563</c:v>
                </c:pt>
                <c:pt idx="115">
                  <c:v>96.90604167783232</c:v>
                </c:pt>
                <c:pt idx="116">
                  <c:v>96.896464519082414</c:v>
                </c:pt>
                <c:pt idx="117">
                  <c:v>96.886844315219065</c:v>
                </c:pt>
                <c:pt idx="118">
                  <c:v>96.877182234708187</c:v>
                </c:pt>
                <c:pt idx="119">
                  <c:v>96.867479406821971</c:v>
                </c:pt>
                <c:pt idx="120">
                  <c:v>96.857736923266984</c:v>
                </c:pt>
                <c:pt idx="121">
                  <c:v>96.847955839731725</c:v>
                </c:pt>
                <c:pt idx="122">
                  <c:v>96.838137177358405</c:v>
                </c:pt>
                <c:pt idx="123">
                  <c:v>96.828281924143127</c:v>
                </c:pt>
                <c:pt idx="124">
                  <c:v>96.818391036268366</c:v>
                </c:pt>
                <c:pt idx="125">
                  <c:v>96.808465439371929</c:v>
                </c:pt>
                <c:pt idx="126">
                  <c:v>96.798506029755458</c:v>
                </c:pt>
                <c:pt idx="127">
                  <c:v>96.78851367553608</c:v>
                </c:pt>
                <c:pt idx="128">
                  <c:v>96.778489217744266</c:v>
                </c:pt>
                <c:pt idx="129">
                  <c:v>96.768433471370713</c:v>
                </c:pt>
                <c:pt idx="130">
                  <c:v>96.758347226365046</c:v>
                </c:pt>
                <c:pt idx="131">
                  <c:v>96.748231248588937</c:v>
                </c:pt>
                <c:pt idx="132">
                  <c:v>96.738086280726023</c:v>
                </c:pt>
                <c:pt idx="133">
                  <c:v>96.727913043150849</c:v>
                </c:pt>
                <c:pt idx="134">
                  <c:v>96.717712234759063</c:v>
                </c:pt>
                <c:pt idx="135">
                  <c:v>96.707484533760763</c:v>
                </c:pt>
                <c:pt idx="136">
                  <c:v>96.697230598438992</c:v>
                </c:pt>
                <c:pt idx="137">
                  <c:v>96.686951067875043</c:v>
                </c:pt>
                <c:pt idx="138">
                  <c:v>96.676646562642304</c:v>
                </c:pt>
                <c:pt idx="139">
                  <c:v>96.666317685470432</c:v>
                </c:pt>
                <c:pt idx="140">
                  <c:v>96.655965021880732</c:v>
                </c:pt>
                <c:pt idx="141">
                  <c:v>96.645589140794996</c:v>
                </c:pt>
                <c:pt idx="142">
                  <c:v>96.635190595118459</c:v>
                </c:pt>
                <c:pt idx="143">
                  <c:v>96.624769922298384</c:v>
                </c:pt>
                <c:pt idx="144">
                  <c:v>96.614327644859429</c:v>
                </c:pt>
                <c:pt idx="145">
                  <c:v>96.603864270916958</c:v>
                </c:pt>
                <c:pt idx="146">
                  <c:v>96.593380294669288</c:v>
                </c:pt>
                <c:pt idx="147">
                  <c:v>96.582876196869904</c:v>
                </c:pt>
                <c:pt idx="148">
                  <c:v>96.572352445280515</c:v>
                </c:pt>
                <c:pt idx="149">
                  <c:v>96.561809495106033</c:v>
                </c:pt>
                <c:pt idx="150">
                  <c:v>96.551247789412059</c:v>
                </c:pt>
              </c:numCache>
            </c:numRef>
          </c:yVal>
          <c:smooth val="0"/>
          <c:extLst>
            <c:ext xmlns:c16="http://schemas.microsoft.com/office/drawing/2014/chart" uri="{C3380CC4-5D6E-409C-BE32-E72D297353CC}">
              <c16:uniqueId val="{00000000-A990-4ED0-A166-4B5A02BBF415}"/>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[1]Eff_vs_IOUT!$AI$7:$AI$157</c:f>
              <c:numCache>
                <c:formatCode>General</c:formatCode>
                <c:ptCount val="151"/>
                <c:pt idx="0">
                  <c:v>1.13161834494674E-3</c:v>
                </c:pt>
                <c:pt idx="1">
                  <c:v>5.3029569450771509E-2</c:v>
                </c:pt>
                <c:pt idx="2">
                  <c:v>0.10503205388992962</c:v>
                </c:pt>
                <c:pt idx="3">
                  <c:v>0.15713907166242103</c:v>
                </c:pt>
                <c:pt idx="4">
                  <c:v>0.20935062276824581</c:v>
                </c:pt>
                <c:pt idx="5">
                  <c:v>0.26166670720740393</c:v>
                </c:pt>
                <c:pt idx="6">
                  <c:v>0.31408732497989528</c:v>
                </c:pt>
                <c:pt idx="7">
                  <c:v>0.36661247608572006</c:v>
                </c:pt>
                <c:pt idx="8">
                  <c:v>0.41924216052487823</c:v>
                </c:pt>
                <c:pt idx="9">
                  <c:v>0.4719763782973696</c:v>
                </c:pt>
                <c:pt idx="10">
                  <c:v>0.52481512940319441</c:v>
                </c:pt>
                <c:pt idx="11">
                  <c:v>0.57775841384235238</c:v>
                </c:pt>
                <c:pt idx="12">
                  <c:v>0.63080623161484384</c:v>
                </c:pt>
                <c:pt idx="13">
                  <c:v>0.68395858272066867</c:v>
                </c:pt>
                <c:pt idx="14">
                  <c:v>0.73721546715982667</c:v>
                </c:pt>
                <c:pt idx="15">
                  <c:v>0.79057688493231826</c:v>
                </c:pt>
                <c:pt idx="16">
                  <c:v>0.84404283603814301</c:v>
                </c:pt>
                <c:pt idx="17">
                  <c:v>0.89761332047730091</c:v>
                </c:pt>
                <c:pt idx="18">
                  <c:v>0.95128833824979242</c:v>
                </c:pt>
                <c:pt idx="19">
                  <c:v>1.0050678893556171</c:v>
                </c:pt>
                <c:pt idx="20">
                  <c:v>1.0589519737947755</c:v>
                </c:pt>
                <c:pt idx="21">
                  <c:v>1.112940591567267</c:v>
                </c:pt>
                <c:pt idx="22">
                  <c:v>1.1670337426730912</c:v>
                </c:pt>
                <c:pt idx="23">
                  <c:v>1.2212314271122497</c:v>
                </c:pt>
                <c:pt idx="24">
                  <c:v>1.275533644884741</c:v>
                </c:pt>
                <c:pt idx="25">
                  <c:v>1.3299403959905658</c:v>
                </c:pt>
                <c:pt idx="26">
                  <c:v>1.384451680429724</c:v>
                </c:pt>
                <c:pt idx="27">
                  <c:v>1.4390674982022156</c:v>
                </c:pt>
                <c:pt idx="28">
                  <c:v>1.4937878493080401</c:v>
                </c:pt>
                <c:pt idx="29">
                  <c:v>1.5486127337471982</c:v>
                </c:pt>
                <c:pt idx="30">
                  <c:v>1.6035421515196897</c:v>
                </c:pt>
                <c:pt idx="31">
                  <c:v>1.6585761026255148</c:v>
                </c:pt>
                <c:pt idx="32">
                  <c:v>1.7137145870646726</c:v>
                </c:pt>
                <c:pt idx="33">
                  <c:v>1.768957604837164</c:v>
                </c:pt>
                <c:pt idx="34">
                  <c:v>1.8243051559429886</c:v>
                </c:pt>
                <c:pt idx="35">
                  <c:v>1.8797572403821465</c:v>
                </c:pt>
                <c:pt idx="36">
                  <c:v>1.9353138581546381</c:v>
                </c:pt>
                <c:pt idx="37">
                  <c:v>1.9909750092604632</c:v>
                </c:pt>
                <c:pt idx="38">
                  <c:v>2.0467406936996211</c:v>
                </c:pt>
                <c:pt idx="39">
                  <c:v>2.1026109114721123</c:v>
                </c:pt>
                <c:pt idx="40">
                  <c:v>2.1585856625779374</c:v>
                </c:pt>
                <c:pt idx="41">
                  <c:v>2.2146649470170954</c:v>
                </c:pt>
                <c:pt idx="42">
                  <c:v>2.2708487647895872</c:v>
                </c:pt>
                <c:pt idx="43">
                  <c:v>2.3271371158954119</c:v>
                </c:pt>
                <c:pt idx="44">
                  <c:v>2.3835300003345692</c:v>
                </c:pt>
                <c:pt idx="45">
                  <c:v>2.4400274181070611</c:v>
                </c:pt>
                <c:pt idx="46">
                  <c:v>2.496629369212886</c:v>
                </c:pt>
                <c:pt idx="47">
                  <c:v>2.5533358536520439</c:v>
                </c:pt>
                <c:pt idx="48">
                  <c:v>2.6101468714245351</c:v>
                </c:pt>
                <c:pt idx="49">
                  <c:v>2.6670624225303601</c:v>
                </c:pt>
                <c:pt idx="50">
                  <c:v>2.724082506969518</c:v>
                </c:pt>
                <c:pt idx="51">
                  <c:v>2.7812071247420094</c:v>
                </c:pt>
                <c:pt idx="52">
                  <c:v>2.8384362758478345</c:v>
                </c:pt>
                <c:pt idx="53">
                  <c:v>2.8957699602869931</c:v>
                </c:pt>
                <c:pt idx="54">
                  <c:v>2.9532081780594845</c:v>
                </c:pt>
                <c:pt idx="55">
                  <c:v>3.0107509291653094</c:v>
                </c:pt>
                <c:pt idx="56">
                  <c:v>3.0683982136044667</c:v>
                </c:pt>
                <c:pt idx="57">
                  <c:v>3.1261500313769579</c:v>
                </c:pt>
                <c:pt idx="58">
                  <c:v>3.1840063824827829</c:v>
                </c:pt>
                <c:pt idx="59">
                  <c:v>3.2419672669219408</c:v>
                </c:pt>
                <c:pt idx="60">
                  <c:v>3.3000326846944326</c:v>
                </c:pt>
                <c:pt idx="61">
                  <c:v>3.3582026358002577</c:v>
                </c:pt>
                <c:pt idx="62">
                  <c:v>3.4164771202394162</c:v>
                </c:pt>
                <c:pt idx="63">
                  <c:v>3.4748561380119067</c:v>
                </c:pt>
                <c:pt idx="64">
                  <c:v>3.533339689117732</c:v>
                </c:pt>
                <c:pt idx="65">
                  <c:v>3.5919277735568906</c:v>
                </c:pt>
                <c:pt idx="66">
                  <c:v>3.6506203913293813</c:v>
                </c:pt>
                <c:pt idx="67">
                  <c:v>3.7094175424352063</c:v>
                </c:pt>
                <c:pt idx="68">
                  <c:v>3.7683192268743637</c:v>
                </c:pt>
                <c:pt idx="69">
                  <c:v>3.8273254446468554</c:v>
                </c:pt>
                <c:pt idx="70">
                  <c:v>3.8864361957526796</c:v>
                </c:pt>
                <c:pt idx="71">
                  <c:v>3.9456514801918376</c:v>
                </c:pt>
                <c:pt idx="72">
                  <c:v>4.0049712979643299</c:v>
                </c:pt>
                <c:pt idx="73">
                  <c:v>4.0643956490701543</c:v>
                </c:pt>
                <c:pt idx="74">
                  <c:v>4.1239245335093129</c:v>
                </c:pt>
                <c:pt idx="75">
                  <c:v>4.183557951281804</c:v>
                </c:pt>
                <c:pt idx="76">
                  <c:v>4.2432959023876284</c:v>
                </c:pt>
                <c:pt idx="77">
                  <c:v>4.3031383868267872</c:v>
                </c:pt>
                <c:pt idx="78">
                  <c:v>4.3630854045992784</c:v>
                </c:pt>
                <c:pt idx="79">
                  <c:v>4.4231369557051039</c:v>
                </c:pt>
                <c:pt idx="80">
                  <c:v>4.4832930401442619</c:v>
                </c:pt>
                <c:pt idx="81">
                  <c:v>4.5435536579167533</c:v>
                </c:pt>
                <c:pt idx="82">
                  <c:v>4.6039188090225771</c:v>
                </c:pt>
                <c:pt idx="83">
                  <c:v>4.6643884934617352</c:v>
                </c:pt>
                <c:pt idx="84">
                  <c:v>4.7249627112342276</c:v>
                </c:pt>
                <c:pt idx="85">
                  <c:v>4.7856414623400516</c:v>
                </c:pt>
                <c:pt idx="86">
                  <c:v>4.8464247467792099</c:v>
                </c:pt>
                <c:pt idx="87">
                  <c:v>4.9073125645517015</c:v>
                </c:pt>
                <c:pt idx="88">
                  <c:v>4.9683049156575247</c:v>
                </c:pt>
                <c:pt idx="89">
                  <c:v>5.0294018000966831</c:v>
                </c:pt>
                <c:pt idx="90">
                  <c:v>5.0906032178691749</c:v>
                </c:pt>
                <c:pt idx="91">
                  <c:v>5.151909168975001</c:v>
                </c:pt>
                <c:pt idx="92">
                  <c:v>5.2133196534141586</c:v>
                </c:pt>
                <c:pt idx="93">
                  <c:v>5.2748346711866496</c:v>
                </c:pt>
                <c:pt idx="94">
                  <c:v>5.336454222292474</c:v>
                </c:pt>
                <c:pt idx="95">
                  <c:v>5.3981783067316327</c:v>
                </c:pt>
                <c:pt idx="96">
                  <c:v>5.4600069245041238</c:v>
                </c:pt>
                <c:pt idx="97">
                  <c:v>5.5219400756099501</c:v>
                </c:pt>
                <c:pt idx="98">
                  <c:v>5.5839777600491072</c:v>
                </c:pt>
                <c:pt idx="99">
                  <c:v>5.6461199778215985</c:v>
                </c:pt>
                <c:pt idx="100">
                  <c:v>5.7083667289274231</c:v>
                </c:pt>
                <c:pt idx="101">
                  <c:v>5.7707180133665812</c:v>
                </c:pt>
                <c:pt idx="102">
                  <c:v>5.8331738311390726</c:v>
                </c:pt>
                <c:pt idx="103">
                  <c:v>5.8957341822448974</c:v>
                </c:pt>
                <c:pt idx="104">
                  <c:v>5.9583990666840556</c:v>
                </c:pt>
                <c:pt idx="105">
                  <c:v>6.0211684844565481</c:v>
                </c:pt>
                <c:pt idx="106">
                  <c:v>6.084042435562373</c:v>
                </c:pt>
                <c:pt idx="107">
                  <c:v>6.1470209200015296</c:v>
                </c:pt>
                <c:pt idx="108">
                  <c:v>6.2101039377740221</c:v>
                </c:pt>
                <c:pt idx="109">
                  <c:v>6.2732914888798472</c:v>
                </c:pt>
                <c:pt idx="110">
                  <c:v>6.3365835733190048</c:v>
                </c:pt>
                <c:pt idx="111">
                  <c:v>6.3999801910914957</c:v>
                </c:pt>
                <c:pt idx="112">
                  <c:v>6.4634813421973201</c:v>
                </c:pt>
                <c:pt idx="113">
                  <c:v>6.5270870266364778</c:v>
                </c:pt>
                <c:pt idx="114">
                  <c:v>6.5907972444089697</c:v>
                </c:pt>
                <c:pt idx="115">
                  <c:v>6.6546119955147951</c:v>
                </c:pt>
                <c:pt idx="116">
                  <c:v>6.7185312799539529</c:v>
                </c:pt>
                <c:pt idx="117">
                  <c:v>6.7825550977264433</c:v>
                </c:pt>
                <c:pt idx="118">
                  <c:v>6.8466834488322688</c:v>
                </c:pt>
                <c:pt idx="119">
                  <c:v>6.9109163332714267</c:v>
                </c:pt>
                <c:pt idx="120">
                  <c:v>6.975253751043919</c:v>
                </c:pt>
                <c:pt idx="121">
                  <c:v>7.0396957021497428</c:v>
                </c:pt>
                <c:pt idx="122">
                  <c:v>7.1042421865889018</c:v>
                </c:pt>
                <c:pt idx="123">
                  <c:v>7.1688932043613933</c:v>
                </c:pt>
                <c:pt idx="124">
                  <c:v>7.2336487554672191</c:v>
                </c:pt>
                <c:pt idx="125">
                  <c:v>7.2985088399063773</c:v>
                </c:pt>
                <c:pt idx="126">
                  <c:v>7.3634734576788672</c:v>
                </c:pt>
                <c:pt idx="127">
                  <c:v>7.4285426087846922</c:v>
                </c:pt>
                <c:pt idx="128">
                  <c:v>7.4937162932238506</c:v>
                </c:pt>
                <c:pt idx="129">
                  <c:v>7.5589945109963432</c:v>
                </c:pt>
                <c:pt idx="130">
                  <c:v>7.6243772621021675</c:v>
                </c:pt>
                <c:pt idx="131">
                  <c:v>7.6898645465413242</c:v>
                </c:pt>
                <c:pt idx="132">
                  <c:v>7.7554563643138161</c:v>
                </c:pt>
                <c:pt idx="133">
                  <c:v>7.8211527154196414</c:v>
                </c:pt>
                <c:pt idx="134">
                  <c:v>7.8869535998587992</c:v>
                </c:pt>
                <c:pt idx="135">
                  <c:v>7.9528590176312912</c:v>
                </c:pt>
                <c:pt idx="136">
                  <c:v>8.0188689687371149</c:v>
                </c:pt>
                <c:pt idx="137">
                  <c:v>8.0849834531762728</c:v>
                </c:pt>
                <c:pt idx="138">
                  <c:v>8.151202470948764</c:v>
                </c:pt>
                <c:pt idx="139">
                  <c:v>8.2175260220545887</c:v>
                </c:pt>
                <c:pt idx="140">
                  <c:v>8.283954106493745</c:v>
                </c:pt>
                <c:pt idx="141">
                  <c:v>8.3504867242662382</c:v>
                </c:pt>
                <c:pt idx="142">
                  <c:v>8.4171238753720612</c:v>
                </c:pt>
                <c:pt idx="143">
                  <c:v>8.4838655598112229</c:v>
                </c:pt>
                <c:pt idx="144">
                  <c:v>8.5507117775837127</c:v>
                </c:pt>
                <c:pt idx="145">
                  <c:v>8.6176625286895376</c:v>
                </c:pt>
                <c:pt idx="146">
                  <c:v>8.684717813128696</c:v>
                </c:pt>
                <c:pt idx="147">
                  <c:v>8.7518776309011876</c:v>
                </c:pt>
                <c:pt idx="148">
                  <c:v>8.8191419820070127</c:v>
                </c:pt>
                <c:pt idx="149">
                  <c:v>8.8865108664461712</c:v>
                </c:pt>
                <c:pt idx="150">
                  <c:v>8.9539842842186612</c:v>
                </c:pt>
              </c:numCache>
            </c:numRef>
          </c:yVal>
          <c:smooth val="1"/>
          <c:extLst>
            <c:ext xmlns:c16="http://schemas.microsoft.com/office/drawing/2014/chart" uri="{C3380CC4-5D6E-409C-BE32-E72D297353CC}">
              <c16:uniqueId val="{00000001-A990-4ED0-A166-4B5A02BBF415}"/>
            </c:ext>
          </c:extLst>
        </c:ser>
        <c:ser>
          <c:idx val="2"/>
          <c:order val="2"/>
          <c:tx>
            <c:v>Diode</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[1]Eff_vs_IOUT!$AO$7:$AO$157</c:f>
              <c:numCache>
                <c:formatCode>General</c:formatCode>
                <c:ptCount val="151"/>
                <c:pt idx="0">
                  <c:v>0.63790833399516844</c:v>
                </c:pt>
                <c:pt idx="1">
                  <c:v>0.63990566732850174</c:v>
                </c:pt>
                <c:pt idx="2">
                  <c:v>0.64195526732850172</c:v>
                </c:pt>
                <c:pt idx="3">
                  <c:v>0.6440571339951684</c:v>
                </c:pt>
                <c:pt idx="4">
                  <c:v>0.64621126732850176</c:v>
                </c:pt>
                <c:pt idx="5">
                  <c:v>0.6484176673285017</c:v>
                </c:pt>
                <c:pt idx="6">
                  <c:v>0.65067633399516844</c:v>
                </c:pt>
                <c:pt idx="7">
                  <c:v>0.65298726732850176</c:v>
                </c:pt>
                <c:pt idx="8">
                  <c:v>0.65535046732850177</c:v>
                </c:pt>
                <c:pt idx="9">
                  <c:v>0.65776593399516836</c:v>
                </c:pt>
                <c:pt idx="10">
                  <c:v>0.66023366732850175</c:v>
                </c:pt>
                <c:pt idx="11">
                  <c:v>0.66275366732850172</c:v>
                </c:pt>
                <c:pt idx="12">
                  <c:v>0.66532593399516837</c:v>
                </c:pt>
                <c:pt idx="13">
                  <c:v>0.66795046732850172</c:v>
                </c:pt>
                <c:pt idx="14">
                  <c:v>0.67062726732850175</c:v>
                </c:pt>
                <c:pt idx="15">
                  <c:v>0.67335633399516848</c:v>
                </c:pt>
                <c:pt idx="16">
                  <c:v>0.67613766732850178</c:v>
                </c:pt>
                <c:pt idx="17">
                  <c:v>0.67897126732850177</c:v>
                </c:pt>
                <c:pt idx="18">
                  <c:v>0.68185713399516845</c:v>
                </c:pt>
                <c:pt idx="19">
                  <c:v>0.68479526732850171</c:v>
                </c:pt>
                <c:pt idx="20">
                  <c:v>0.68778566732850177</c:v>
                </c:pt>
                <c:pt idx="21">
                  <c:v>0.69082833399516841</c:v>
                </c:pt>
                <c:pt idx="22">
                  <c:v>0.69392326732850174</c:v>
                </c:pt>
                <c:pt idx="23">
                  <c:v>0.69707046732850175</c:v>
                </c:pt>
                <c:pt idx="24">
                  <c:v>0.70026993399516846</c:v>
                </c:pt>
                <c:pt idx="25">
                  <c:v>0.70352166732850174</c:v>
                </c:pt>
                <c:pt idx="26">
                  <c:v>0.70682566732850183</c:v>
                </c:pt>
                <c:pt idx="27">
                  <c:v>0.71018193399516838</c:v>
                </c:pt>
                <c:pt idx="28">
                  <c:v>0.71359046732850173</c:v>
                </c:pt>
                <c:pt idx="29">
                  <c:v>0.71705126732850177</c:v>
                </c:pt>
                <c:pt idx="30">
                  <c:v>0.72056433399516839</c:v>
                </c:pt>
                <c:pt idx="31">
                  <c:v>0.72412966732850181</c:v>
                </c:pt>
                <c:pt idx="32">
                  <c:v>0.7277472673285017</c:v>
                </c:pt>
                <c:pt idx="33">
                  <c:v>0.7314171339951685</c:v>
                </c:pt>
                <c:pt idx="34">
                  <c:v>0.73513926732850177</c:v>
                </c:pt>
                <c:pt idx="35">
                  <c:v>0.73891366732850172</c:v>
                </c:pt>
                <c:pt idx="36">
                  <c:v>0.74274033399516837</c:v>
                </c:pt>
                <c:pt idx="37">
                  <c:v>0.7466192673285017</c:v>
                </c:pt>
                <c:pt idx="38">
                  <c:v>0.75055046732850172</c:v>
                </c:pt>
                <c:pt idx="39">
                  <c:v>0.75453393399516833</c:v>
                </c:pt>
                <c:pt idx="40">
                  <c:v>0.75856966732850173</c:v>
                </c:pt>
                <c:pt idx="41">
                  <c:v>0.76265766732850171</c:v>
                </c:pt>
                <c:pt idx="42">
                  <c:v>0.76679793399516849</c:v>
                </c:pt>
                <c:pt idx="43">
                  <c:v>0.77099046732850174</c:v>
                </c:pt>
                <c:pt idx="44">
                  <c:v>0.77523526732850168</c:v>
                </c:pt>
                <c:pt idx="45">
                  <c:v>0.77953233399516841</c:v>
                </c:pt>
                <c:pt idx="46">
                  <c:v>0.78388166732850184</c:v>
                </c:pt>
                <c:pt idx="47">
                  <c:v>0.78828326732850174</c:v>
                </c:pt>
                <c:pt idx="48">
                  <c:v>0.79273713399516832</c:v>
                </c:pt>
                <c:pt idx="49">
                  <c:v>0.7972432673285017</c:v>
                </c:pt>
                <c:pt idx="50">
                  <c:v>0.80180166732850178</c:v>
                </c:pt>
                <c:pt idx="51">
                  <c:v>0.80641233399516843</c:v>
                </c:pt>
                <c:pt idx="52">
                  <c:v>0.81107526732850177</c:v>
                </c:pt>
                <c:pt idx="53">
                  <c:v>0.8157904673285018</c:v>
                </c:pt>
                <c:pt idx="54">
                  <c:v>0.82055793399516841</c:v>
                </c:pt>
                <c:pt idx="55">
                  <c:v>0.82537766732850182</c:v>
                </c:pt>
                <c:pt idx="56">
                  <c:v>0.83024966732850169</c:v>
                </c:pt>
                <c:pt idx="57">
                  <c:v>0.83517393399516837</c:v>
                </c:pt>
                <c:pt idx="58">
                  <c:v>0.84015046732850174</c:v>
                </c:pt>
                <c:pt idx="59">
                  <c:v>0.84517926732850168</c:v>
                </c:pt>
                <c:pt idx="60">
                  <c:v>0.85026033399516843</c:v>
                </c:pt>
                <c:pt idx="61">
                  <c:v>0.85539366732850175</c:v>
                </c:pt>
                <c:pt idx="62">
                  <c:v>0.86057926732850187</c:v>
                </c:pt>
                <c:pt idx="63">
                  <c:v>0.86581713399516835</c:v>
                </c:pt>
                <c:pt idx="64">
                  <c:v>0.87110726732850186</c:v>
                </c:pt>
                <c:pt idx="65">
                  <c:v>0.87644966732850182</c:v>
                </c:pt>
                <c:pt idx="66">
                  <c:v>0.88184433399516837</c:v>
                </c:pt>
                <c:pt idx="67">
                  <c:v>0.88729126732850183</c:v>
                </c:pt>
                <c:pt idx="68">
                  <c:v>0.89279046732850165</c:v>
                </c:pt>
                <c:pt idx="69">
                  <c:v>0.89834193399516837</c:v>
                </c:pt>
                <c:pt idx="70">
                  <c:v>0.90394566732850168</c:v>
                </c:pt>
                <c:pt idx="71">
                  <c:v>0.90960166732850167</c:v>
                </c:pt>
                <c:pt idx="72">
                  <c:v>0.91530993399516836</c:v>
                </c:pt>
                <c:pt idx="73">
                  <c:v>0.92107046732850173</c:v>
                </c:pt>
                <c:pt idx="74">
                  <c:v>0.92688326732850179</c:v>
                </c:pt>
                <c:pt idx="75">
                  <c:v>0.93274833399516832</c:v>
                </c:pt>
                <c:pt idx="76">
                  <c:v>0.93866566732850176</c:v>
                </c:pt>
                <c:pt idx="77">
                  <c:v>0.94463526732850167</c:v>
                </c:pt>
                <c:pt idx="78">
                  <c:v>0.95065713399516838</c:v>
                </c:pt>
                <c:pt idx="79">
                  <c:v>0.95673126732850167</c:v>
                </c:pt>
                <c:pt idx="80">
                  <c:v>0.96285766732850175</c:v>
                </c:pt>
                <c:pt idx="81">
                  <c:v>0.96903633399516842</c:v>
                </c:pt>
                <c:pt idx="82">
                  <c:v>0.97526726732850166</c:v>
                </c:pt>
                <c:pt idx="83">
                  <c:v>0.98155046732850182</c:v>
                </c:pt>
                <c:pt idx="84">
                  <c:v>0.98788593399516844</c:v>
                </c:pt>
                <c:pt idx="85">
                  <c:v>0.99427366732850175</c:v>
                </c:pt>
                <c:pt idx="86">
                  <c:v>1.0007136673285018</c:v>
                </c:pt>
                <c:pt idx="87">
                  <c:v>1.0072059339951684</c:v>
                </c:pt>
                <c:pt idx="88">
                  <c:v>1.0137504673285016</c:v>
                </c:pt>
                <c:pt idx="89">
                  <c:v>1.0203472673285017</c:v>
                </c:pt>
                <c:pt idx="90">
                  <c:v>1.0269963339951684</c:v>
                </c:pt>
                <c:pt idx="91">
                  <c:v>1.0336976673285017</c:v>
                </c:pt>
                <c:pt idx="92">
                  <c:v>1.0404512673285016</c:v>
                </c:pt>
                <c:pt idx="93">
                  <c:v>1.0472571339951684</c:v>
                </c:pt>
                <c:pt idx="94">
                  <c:v>1.0541152673285017</c:v>
                </c:pt>
                <c:pt idx="95">
                  <c:v>1.0610256673285017</c:v>
                </c:pt>
                <c:pt idx="96">
                  <c:v>1.0679883339951683</c:v>
                </c:pt>
                <c:pt idx="97">
                  <c:v>1.0750032673285017</c:v>
                </c:pt>
                <c:pt idx="98">
                  <c:v>1.0820704673285015</c:v>
                </c:pt>
                <c:pt idx="99">
                  <c:v>1.0891899339951683</c:v>
                </c:pt>
                <c:pt idx="100">
                  <c:v>1.0963616673285017</c:v>
                </c:pt>
                <c:pt idx="101">
                  <c:v>1.1035856673285016</c:v>
                </c:pt>
                <c:pt idx="102">
                  <c:v>1.1108619339951684</c:v>
                </c:pt>
                <c:pt idx="103">
                  <c:v>1.1181904673285017</c:v>
                </c:pt>
                <c:pt idx="104">
                  <c:v>1.1255712673285017</c:v>
                </c:pt>
                <c:pt idx="105">
                  <c:v>1.1330043339951683</c:v>
                </c:pt>
                <c:pt idx="106">
                  <c:v>1.1404896673285019</c:v>
                </c:pt>
                <c:pt idx="107">
                  <c:v>1.1480272673285017</c:v>
                </c:pt>
                <c:pt idx="108">
                  <c:v>1.1556171339951684</c:v>
                </c:pt>
                <c:pt idx="109">
                  <c:v>1.1632592673285016</c:v>
                </c:pt>
                <c:pt idx="110">
                  <c:v>1.1709536673285019</c:v>
                </c:pt>
                <c:pt idx="111">
                  <c:v>1.1787003339951685</c:v>
                </c:pt>
                <c:pt idx="112">
                  <c:v>1.1864992673285015</c:v>
                </c:pt>
                <c:pt idx="113">
                  <c:v>1.1943504673285019</c:v>
                </c:pt>
                <c:pt idx="114">
                  <c:v>1.2022539339951683</c:v>
                </c:pt>
                <c:pt idx="115">
                  <c:v>1.2102096673285019</c:v>
                </c:pt>
                <c:pt idx="116">
                  <c:v>1.2182176673285019</c:v>
                </c:pt>
                <c:pt idx="117">
                  <c:v>1.2262779339951684</c:v>
                </c:pt>
                <c:pt idx="118">
                  <c:v>1.2343904673285018</c:v>
                </c:pt>
                <c:pt idx="119">
                  <c:v>1.2425552673285019</c:v>
                </c:pt>
                <c:pt idx="120">
                  <c:v>1.2507723339951684</c:v>
                </c:pt>
                <c:pt idx="121">
                  <c:v>1.2590416673285016</c:v>
                </c:pt>
                <c:pt idx="122">
                  <c:v>1.2673632673285018</c:v>
                </c:pt>
                <c:pt idx="123">
                  <c:v>1.2757371339951682</c:v>
                </c:pt>
                <c:pt idx="124">
                  <c:v>1.2841632673285017</c:v>
                </c:pt>
                <c:pt idx="125">
                  <c:v>1.2926416673285019</c:v>
                </c:pt>
                <c:pt idx="126">
                  <c:v>1.3011723339951682</c:v>
                </c:pt>
                <c:pt idx="127">
                  <c:v>1.3097552673285018</c:v>
                </c:pt>
                <c:pt idx="128">
                  <c:v>1.3183904673285016</c:v>
                </c:pt>
                <c:pt idx="129">
                  <c:v>1.3270779339951686</c:v>
                </c:pt>
                <c:pt idx="130">
                  <c:v>1.3358176673285018</c:v>
                </c:pt>
                <c:pt idx="131">
                  <c:v>1.3446096673285015</c:v>
                </c:pt>
                <c:pt idx="132">
                  <c:v>1.3534539339951683</c:v>
                </c:pt>
                <c:pt idx="133">
                  <c:v>1.3623504673285018</c:v>
                </c:pt>
                <c:pt idx="134">
                  <c:v>1.3712992673285016</c:v>
                </c:pt>
                <c:pt idx="135">
                  <c:v>1.3803003339951685</c:v>
                </c:pt>
                <c:pt idx="136">
                  <c:v>1.3893536673285016</c:v>
                </c:pt>
                <c:pt idx="137">
                  <c:v>1.3984592673285019</c:v>
                </c:pt>
                <c:pt idx="138">
                  <c:v>1.4076171339951684</c:v>
                </c:pt>
                <c:pt idx="139">
                  <c:v>1.4168272673285018</c:v>
                </c:pt>
                <c:pt idx="140">
                  <c:v>1.4260896673285015</c:v>
                </c:pt>
                <c:pt idx="141">
                  <c:v>1.4354043339951685</c:v>
                </c:pt>
                <c:pt idx="142">
                  <c:v>1.4447712673285016</c:v>
                </c:pt>
                <c:pt idx="143">
                  <c:v>1.454190467328502</c:v>
                </c:pt>
                <c:pt idx="144">
                  <c:v>1.4636619339951684</c:v>
                </c:pt>
                <c:pt idx="145">
                  <c:v>1.4731856673285018</c:v>
                </c:pt>
                <c:pt idx="146">
                  <c:v>1.4827616673285018</c:v>
                </c:pt>
                <c:pt idx="147">
                  <c:v>1.4923899339951685</c:v>
                </c:pt>
                <c:pt idx="148">
                  <c:v>1.5020704673285015</c:v>
                </c:pt>
                <c:pt idx="149">
                  <c:v>1.5118032673285018</c:v>
                </c:pt>
                <c:pt idx="150">
                  <c:v>1.5215883339951684</c:v>
                </c:pt>
              </c:numCache>
            </c:numRef>
          </c:yVal>
          <c:smooth val="1"/>
          <c:extLst>
            <c:ext xmlns:c16="http://schemas.microsoft.com/office/drawing/2014/chart" uri="{C3380CC4-5D6E-409C-BE32-E72D297353CC}">
              <c16:uniqueId val="{00000002-A990-4ED0-A166-4B5A02BBF415}"/>
            </c:ext>
          </c:extLst>
        </c:ser>
        <c:ser>
          <c:idx val="3"/>
          <c:order val="3"/>
          <c:tx>
            <c:v>RCS</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[1]Eff_vs_IOUT!$AP$7:$AP$157</c:f>
              <c:numCache>
                <c:formatCode>General</c:formatCode>
                <c:ptCount val="151"/>
                <c:pt idx="0">
                  <c:v>2.5461412761301648E-3</c:v>
                </c:pt>
                <c:pt idx="1">
                  <c:v>2.663741276130165E-3</c:v>
                </c:pt>
                <c:pt idx="2">
                  <c:v>3.0165412761301649E-3</c:v>
                </c:pt>
                <c:pt idx="3">
                  <c:v>3.6045412761301645E-3</c:v>
                </c:pt>
                <c:pt idx="4">
                  <c:v>4.4277412761301654E-3</c:v>
                </c:pt>
                <c:pt idx="5">
                  <c:v>5.4861412761301655E-3</c:v>
                </c:pt>
                <c:pt idx="6">
                  <c:v>6.7797412761301645E-3</c:v>
                </c:pt>
                <c:pt idx="7">
                  <c:v>8.308541276130163E-3</c:v>
                </c:pt>
                <c:pt idx="8">
                  <c:v>1.0072541276130166E-2</c:v>
                </c:pt>
                <c:pt idx="9">
                  <c:v>1.2071741276130166E-2</c:v>
                </c:pt>
                <c:pt idx="10">
                  <c:v>1.4306141276130167E-2</c:v>
                </c:pt>
                <c:pt idx="11">
                  <c:v>1.6775741276130161E-2</c:v>
                </c:pt>
                <c:pt idx="12">
                  <c:v>1.9480541276130164E-2</c:v>
                </c:pt>
                <c:pt idx="13">
                  <c:v>2.242054127613017E-2</c:v>
                </c:pt>
                <c:pt idx="14">
                  <c:v>2.5595741276130162E-2</c:v>
                </c:pt>
                <c:pt idx="15">
                  <c:v>2.9006141276130167E-2</c:v>
                </c:pt>
                <c:pt idx="16">
                  <c:v>3.2651741276130172E-2</c:v>
                </c:pt>
                <c:pt idx="17">
                  <c:v>3.6532541276130169E-2</c:v>
                </c:pt>
                <c:pt idx="18">
                  <c:v>4.0648541276130171E-2</c:v>
                </c:pt>
                <c:pt idx="19">
                  <c:v>4.4999741276130177E-2</c:v>
                </c:pt>
                <c:pt idx="20">
                  <c:v>4.9586141276130175E-2</c:v>
                </c:pt>
                <c:pt idx="21">
                  <c:v>5.4407741276130184E-2</c:v>
                </c:pt>
                <c:pt idx="22">
                  <c:v>5.9464541276130156E-2</c:v>
                </c:pt>
                <c:pt idx="23">
                  <c:v>6.4756541276130161E-2</c:v>
                </c:pt>
                <c:pt idx="24">
                  <c:v>7.0283741276130171E-2</c:v>
                </c:pt>
                <c:pt idx="25">
                  <c:v>7.6046141276130172E-2</c:v>
                </c:pt>
                <c:pt idx="26">
                  <c:v>8.2043741276130178E-2</c:v>
                </c:pt>
                <c:pt idx="27">
                  <c:v>8.827654127613016E-2</c:v>
                </c:pt>
                <c:pt idx="28">
                  <c:v>9.4744541276130148E-2</c:v>
                </c:pt>
                <c:pt idx="29">
                  <c:v>0.10144774127613021</c:v>
                </c:pt>
                <c:pt idx="30">
                  <c:v>0.10838614127613017</c:v>
                </c:pt>
                <c:pt idx="31">
                  <c:v>0.11555974127613018</c:v>
                </c:pt>
                <c:pt idx="32">
                  <c:v>0.12296854127613016</c:v>
                </c:pt>
                <c:pt idx="33">
                  <c:v>0.13061254127613015</c:v>
                </c:pt>
                <c:pt idx="34">
                  <c:v>0.13849174127613015</c:v>
                </c:pt>
                <c:pt idx="35">
                  <c:v>0.14660614127613011</c:v>
                </c:pt>
                <c:pt idx="36">
                  <c:v>0.15495574127613018</c:v>
                </c:pt>
                <c:pt idx="37">
                  <c:v>0.16354054127613019</c:v>
                </c:pt>
                <c:pt idx="38">
                  <c:v>0.17236054127613018</c:v>
                </c:pt>
                <c:pt idx="39">
                  <c:v>0.18141574127613017</c:v>
                </c:pt>
                <c:pt idx="40">
                  <c:v>0.1907061412761302</c:v>
                </c:pt>
                <c:pt idx="41">
                  <c:v>0.20023174127613019</c:v>
                </c:pt>
                <c:pt idx="42">
                  <c:v>0.20999254127613026</c:v>
                </c:pt>
                <c:pt idx="43">
                  <c:v>0.21998854127613024</c:v>
                </c:pt>
                <c:pt idx="44">
                  <c:v>0.2302197412761301</c:v>
                </c:pt>
                <c:pt idx="45">
                  <c:v>0.24068614127613017</c:v>
                </c:pt>
                <c:pt idx="46">
                  <c:v>0.25138774127613023</c:v>
                </c:pt>
                <c:pt idx="47">
                  <c:v>0.26232454127613014</c:v>
                </c:pt>
                <c:pt idx="48">
                  <c:v>0.27349654127613016</c:v>
                </c:pt>
                <c:pt idx="49">
                  <c:v>0.28490374127613011</c:v>
                </c:pt>
                <c:pt idx="50">
                  <c:v>0.29654614127613022</c:v>
                </c:pt>
                <c:pt idx="51">
                  <c:v>0.3084237412761302</c:v>
                </c:pt>
                <c:pt idx="52">
                  <c:v>0.32053654127613024</c:v>
                </c:pt>
                <c:pt idx="53">
                  <c:v>0.33288454127613021</c:v>
                </c:pt>
                <c:pt idx="54">
                  <c:v>0.34546774127613017</c:v>
                </c:pt>
                <c:pt idx="55">
                  <c:v>0.35828614127613029</c:v>
                </c:pt>
                <c:pt idx="56">
                  <c:v>0.37133974127613001</c:v>
                </c:pt>
                <c:pt idx="57">
                  <c:v>0.38462854127613016</c:v>
                </c:pt>
                <c:pt idx="58">
                  <c:v>0.3981525412761302</c:v>
                </c:pt>
                <c:pt idx="59">
                  <c:v>0.41191174127613006</c:v>
                </c:pt>
                <c:pt idx="60">
                  <c:v>0.42590614127613013</c:v>
                </c:pt>
                <c:pt idx="61">
                  <c:v>0.44013574127613031</c:v>
                </c:pt>
                <c:pt idx="62">
                  <c:v>0.45460054127613025</c:v>
                </c:pt>
                <c:pt idx="63">
                  <c:v>0.46930054127613019</c:v>
                </c:pt>
                <c:pt idx="64">
                  <c:v>0.48423574127613017</c:v>
                </c:pt>
                <c:pt idx="65">
                  <c:v>0.49940614127613037</c:v>
                </c:pt>
                <c:pt idx="66">
                  <c:v>0.51481174127613027</c:v>
                </c:pt>
                <c:pt idx="67">
                  <c:v>0.53045254127613017</c:v>
                </c:pt>
                <c:pt idx="68">
                  <c:v>0.54632854127613006</c:v>
                </c:pt>
                <c:pt idx="69">
                  <c:v>0.56243974127613017</c:v>
                </c:pt>
                <c:pt idx="70">
                  <c:v>0.57878614127612993</c:v>
                </c:pt>
                <c:pt idx="71">
                  <c:v>0.59536774127613012</c:v>
                </c:pt>
                <c:pt idx="72">
                  <c:v>0.6121845412761302</c:v>
                </c:pt>
                <c:pt idx="73">
                  <c:v>0.62923654127613027</c:v>
                </c:pt>
                <c:pt idx="74">
                  <c:v>0.64652374127613033</c:v>
                </c:pt>
                <c:pt idx="75">
                  <c:v>0.66404614127613015</c:v>
                </c:pt>
                <c:pt idx="76">
                  <c:v>0.68180374127613019</c:v>
                </c:pt>
                <c:pt idx="77">
                  <c:v>0.69979654127613033</c:v>
                </c:pt>
                <c:pt idx="78">
                  <c:v>0.71802454127613013</c:v>
                </c:pt>
                <c:pt idx="79">
                  <c:v>0.73648774127613015</c:v>
                </c:pt>
                <c:pt idx="80">
                  <c:v>0.75518614127613026</c:v>
                </c:pt>
                <c:pt idx="81">
                  <c:v>0.77411974127613048</c:v>
                </c:pt>
                <c:pt idx="82">
                  <c:v>0.79328854127613024</c:v>
                </c:pt>
                <c:pt idx="83">
                  <c:v>0.81269254127613033</c:v>
                </c:pt>
                <c:pt idx="84">
                  <c:v>0.83233174127613052</c:v>
                </c:pt>
                <c:pt idx="85">
                  <c:v>0.85220614127613015</c:v>
                </c:pt>
                <c:pt idx="86">
                  <c:v>0.87231574127613043</c:v>
                </c:pt>
                <c:pt idx="87">
                  <c:v>0.89266054127613048</c:v>
                </c:pt>
                <c:pt idx="88">
                  <c:v>0.91324054127612997</c:v>
                </c:pt>
                <c:pt idx="89">
                  <c:v>0.93405574127613</c:v>
                </c:pt>
                <c:pt idx="90">
                  <c:v>0.95510614127613036</c:v>
                </c:pt>
                <c:pt idx="91">
                  <c:v>0.97639174127613004</c:v>
                </c:pt>
                <c:pt idx="92">
                  <c:v>0.99791254127613027</c:v>
                </c:pt>
                <c:pt idx="93">
                  <c:v>1.0196685412761304</c:v>
                </c:pt>
                <c:pt idx="94">
                  <c:v>1.0416597412761301</c:v>
                </c:pt>
                <c:pt idx="95">
                  <c:v>1.06388614127613</c:v>
                </c:pt>
                <c:pt idx="96">
                  <c:v>1.0863477412761304</c:v>
                </c:pt>
                <c:pt idx="97">
                  <c:v>1.1090445412761303</c:v>
                </c:pt>
                <c:pt idx="98">
                  <c:v>1.13197654127613</c:v>
                </c:pt>
                <c:pt idx="99">
                  <c:v>1.1551437412761303</c:v>
                </c:pt>
                <c:pt idx="100">
                  <c:v>1.1785461412761302</c:v>
                </c:pt>
                <c:pt idx="101">
                  <c:v>1.2021837412761303</c:v>
                </c:pt>
                <c:pt idx="102">
                  <c:v>1.22605654127613</c:v>
                </c:pt>
                <c:pt idx="103">
                  <c:v>1.2501645412761302</c:v>
                </c:pt>
                <c:pt idx="104">
                  <c:v>1.2745077412761305</c:v>
                </c:pt>
                <c:pt idx="105">
                  <c:v>1.2990861412761303</c:v>
                </c:pt>
                <c:pt idx="106">
                  <c:v>1.3238997412761304</c:v>
                </c:pt>
                <c:pt idx="107">
                  <c:v>1.3489485412761304</c:v>
                </c:pt>
                <c:pt idx="108">
                  <c:v>1.3742325412761303</c:v>
                </c:pt>
                <c:pt idx="109">
                  <c:v>1.3997517412761304</c:v>
                </c:pt>
                <c:pt idx="110">
                  <c:v>1.4255061412761303</c:v>
                </c:pt>
                <c:pt idx="111">
                  <c:v>1.4514957412761309</c:v>
                </c:pt>
                <c:pt idx="112">
                  <c:v>1.4777205412761296</c:v>
                </c:pt>
                <c:pt idx="113">
                  <c:v>1.5041805412761304</c:v>
                </c:pt>
                <c:pt idx="114">
                  <c:v>1.5308757412761302</c:v>
                </c:pt>
                <c:pt idx="115">
                  <c:v>1.5578061412761306</c:v>
                </c:pt>
                <c:pt idx="116">
                  <c:v>1.5849717412761304</c:v>
                </c:pt>
                <c:pt idx="117">
                  <c:v>1.6123725412761301</c:v>
                </c:pt>
                <c:pt idx="118">
                  <c:v>1.6400085412761298</c:v>
                </c:pt>
                <c:pt idx="119">
                  <c:v>1.6678797412761301</c:v>
                </c:pt>
                <c:pt idx="120">
                  <c:v>1.6959861412761297</c:v>
                </c:pt>
                <c:pt idx="121">
                  <c:v>1.7243277412761302</c:v>
                </c:pt>
                <c:pt idx="122">
                  <c:v>1.7529045412761304</c:v>
                </c:pt>
                <c:pt idx="123">
                  <c:v>1.7817165412761307</c:v>
                </c:pt>
                <c:pt idx="124">
                  <c:v>1.8107637412761304</c:v>
                </c:pt>
                <c:pt idx="125">
                  <c:v>1.8400461412761306</c:v>
                </c:pt>
                <c:pt idx="126">
                  <c:v>1.8695637412761303</c:v>
                </c:pt>
                <c:pt idx="127">
                  <c:v>1.8993165412761301</c:v>
                </c:pt>
                <c:pt idx="128">
                  <c:v>1.92930454127613</c:v>
                </c:pt>
                <c:pt idx="129">
                  <c:v>1.9595277412761303</c:v>
                </c:pt>
                <c:pt idx="130">
                  <c:v>1.9899861412761308</c:v>
                </c:pt>
                <c:pt idx="131">
                  <c:v>2.0206797412761301</c:v>
                </c:pt>
                <c:pt idx="132">
                  <c:v>2.0516085412761305</c:v>
                </c:pt>
                <c:pt idx="133">
                  <c:v>2.08277254127613</c:v>
                </c:pt>
                <c:pt idx="134">
                  <c:v>2.1141717412761301</c:v>
                </c:pt>
                <c:pt idx="135">
                  <c:v>2.1458061412761307</c:v>
                </c:pt>
                <c:pt idx="136">
                  <c:v>2.1776757412761296</c:v>
                </c:pt>
                <c:pt idx="137">
                  <c:v>2.20978054127613</c:v>
                </c:pt>
                <c:pt idx="138">
                  <c:v>2.2421205412761296</c:v>
                </c:pt>
                <c:pt idx="139">
                  <c:v>2.2746957412761306</c:v>
                </c:pt>
                <c:pt idx="140">
                  <c:v>2.3075061412761295</c:v>
                </c:pt>
                <c:pt idx="141">
                  <c:v>2.3405517412761307</c:v>
                </c:pt>
                <c:pt idx="142">
                  <c:v>2.3738325412761303</c:v>
                </c:pt>
                <c:pt idx="143">
                  <c:v>2.4073485412761304</c:v>
                </c:pt>
                <c:pt idx="144">
                  <c:v>2.4410997412761302</c:v>
                </c:pt>
                <c:pt idx="145">
                  <c:v>2.4750861412761305</c:v>
                </c:pt>
                <c:pt idx="146">
                  <c:v>2.50930774127613</c:v>
                </c:pt>
                <c:pt idx="147">
                  <c:v>2.5437645412761301</c:v>
                </c:pt>
                <c:pt idx="148">
                  <c:v>2.5784565412761302</c:v>
                </c:pt>
                <c:pt idx="149">
                  <c:v>2.6133837412761314</c:v>
                </c:pt>
                <c:pt idx="150">
                  <c:v>2.6485461412761295</c:v>
                </c:pt>
              </c:numCache>
            </c:numRef>
          </c:yVal>
          <c:smooth val="1"/>
          <c:extLst>
            <c:ext xmlns:c16="http://schemas.microsoft.com/office/drawing/2014/chart" uri="{C3380CC4-5D6E-409C-BE32-E72D297353CC}">
              <c16:uniqueId val="{00000003-A990-4ED0-A166-4B5A02BBF415}"/>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Eff_vs_VIN!$AW$7:$AW$157</c:f>
              <c:numCache>
                <c:formatCode>General</c:formatCode>
                <c:ptCount val="151"/>
                <c:pt idx="0">
                  <c:v>95.204190586758813</c:v>
                </c:pt>
                <c:pt idx="1">
                  <c:v>95.208807947341171</c:v>
                </c:pt>
                <c:pt idx="2">
                  <c:v>95.213418127637723</c:v>
                </c:pt>
                <c:pt idx="3">
                  <c:v>95.218021142996236</c:v>
                </c:pt>
                <c:pt idx="4">
                  <c:v>95.222617008722565</c:v>
                </c:pt>
                <c:pt idx="5">
                  <c:v>95.227205740080962</c:v>
                </c:pt>
                <c:pt idx="6">
                  <c:v>95.23178735229412</c:v>
                </c:pt>
                <c:pt idx="7">
                  <c:v>95.236361860543255</c:v>
                </c:pt>
                <c:pt idx="8">
                  <c:v>95.240929279968356</c:v>
                </c:pt>
                <c:pt idx="9">
                  <c:v>95.245489625668171</c:v>
                </c:pt>
                <c:pt idx="10">
                  <c:v>95.250042912700437</c:v>
                </c:pt>
                <c:pt idx="11">
                  <c:v>95.254589156081991</c:v>
                </c:pt>
                <c:pt idx="12">
                  <c:v>95.259128370788844</c:v>
                </c:pt>
                <c:pt idx="13">
                  <c:v>95.263660571756319</c:v>
                </c:pt>
                <c:pt idx="14">
                  <c:v>95.268185773879239</c:v>
                </c:pt>
                <c:pt idx="15">
                  <c:v>95.272703992012026</c:v>
                </c:pt>
                <c:pt idx="16">
                  <c:v>95.277215240968701</c:v>
                </c:pt>
                <c:pt idx="17">
                  <c:v>95.281719535523223</c:v>
                </c:pt>
                <c:pt idx="18">
                  <c:v>95.286216890409435</c:v>
                </c:pt>
                <c:pt idx="19">
                  <c:v>95.290707320321246</c:v>
                </c:pt>
                <c:pt idx="20">
                  <c:v>95.295190839912792</c:v>
                </c:pt>
                <c:pt idx="21">
                  <c:v>95.299667463798514</c:v>
                </c:pt>
                <c:pt idx="22">
                  <c:v>95.304137206553236</c:v>
                </c:pt>
                <c:pt idx="23">
                  <c:v>95.308600082712431</c:v>
                </c:pt>
                <c:pt idx="24">
                  <c:v>95.313056106772152</c:v>
                </c:pt>
                <c:pt idx="25">
                  <c:v>95.317505293189299</c:v>
                </c:pt>
                <c:pt idx="26">
                  <c:v>95.321947656381681</c:v>
                </c:pt>
                <c:pt idx="27">
                  <c:v>95.32638321072811</c:v>
                </c:pt>
                <c:pt idx="28">
                  <c:v>95.33081197056859</c:v>
                </c:pt>
                <c:pt idx="29">
                  <c:v>95.335233950204341</c:v>
                </c:pt>
                <c:pt idx="30">
                  <c:v>95.339649163898031</c:v>
                </c:pt>
                <c:pt idx="31">
                  <c:v>95.344057625873774</c:v>
                </c:pt>
                <c:pt idx="32">
                  <c:v>95.348459350317327</c:v>
                </c:pt>
                <c:pt idx="33">
                  <c:v>95.352854351376166</c:v>
                </c:pt>
                <c:pt idx="34">
                  <c:v>95.35724264315968</c:v>
                </c:pt>
                <c:pt idx="35">
                  <c:v>95.361624239739157</c:v>
                </c:pt>
                <c:pt idx="36">
                  <c:v>95.365999155147946</c:v>
                </c:pt>
                <c:pt idx="37">
                  <c:v>95.370367403381707</c:v>
                </c:pt>
                <c:pt idx="38">
                  <c:v>95.374728998398297</c:v>
                </c:pt>
                <c:pt idx="39">
                  <c:v>95.379083954118045</c:v>
                </c:pt>
                <c:pt idx="40">
                  <c:v>95.383432284423819</c:v>
                </c:pt>
                <c:pt idx="41">
                  <c:v>95.387774003161113</c:v>
                </c:pt>
                <c:pt idx="42">
                  <c:v>95.39210912413823</c:v>
                </c:pt>
                <c:pt idx="43">
                  <c:v>95.396437661126328</c:v>
                </c:pt>
                <c:pt idx="44">
                  <c:v>95.400759627859514</c:v>
                </c:pt>
                <c:pt idx="45">
                  <c:v>95.405075038035065</c:v>
                </c:pt>
                <c:pt idx="46">
                  <c:v>95.409383905313419</c:v>
                </c:pt>
                <c:pt idx="47">
                  <c:v>95.413686243318338</c:v>
                </c:pt>
                <c:pt idx="48">
                  <c:v>95.417982065637048</c:v>
                </c:pt>
                <c:pt idx="49">
                  <c:v>95.422271385820295</c:v>
                </c:pt>
                <c:pt idx="50">
                  <c:v>95.42655421738246</c:v>
                </c:pt>
                <c:pt idx="51">
                  <c:v>95.430830573801728</c:v>
                </c:pt>
                <c:pt idx="52">
                  <c:v>95.435100468520105</c:v>
                </c:pt>
                <c:pt idx="53">
                  <c:v>95.439363914943627</c:v>
                </c:pt>
                <c:pt idx="54">
                  <c:v>95.44362092644235</c:v>
                </c:pt>
                <c:pt idx="55">
                  <c:v>95.447871516350617</c:v>
                </c:pt>
                <c:pt idx="56">
                  <c:v>95.452115697966946</c:v>
                </c:pt>
                <c:pt idx="57">
                  <c:v>95.456353484554398</c:v>
                </c:pt>
                <c:pt idx="58">
                  <c:v>95.460584889340439</c:v>
                </c:pt>
                <c:pt idx="59">
                  <c:v>95.464809925517244</c:v>
                </c:pt>
                <c:pt idx="60">
                  <c:v>95.46902860624165</c:v>
                </c:pt>
                <c:pt idx="61">
                  <c:v>95.473240944635322</c:v>
                </c:pt>
                <c:pt idx="62">
                  <c:v>95.477446953784934</c:v>
                </c:pt>
                <c:pt idx="63">
                  <c:v>95.481646646742121</c:v>
                </c:pt>
                <c:pt idx="64">
                  <c:v>95.48584003652374</c:v>
                </c:pt>
                <c:pt idx="65">
                  <c:v>95.49002713611182</c:v>
                </c:pt>
                <c:pt idx="66">
                  <c:v>95.494207958453813</c:v>
                </c:pt>
                <c:pt idx="67">
                  <c:v>95.498382516462584</c:v>
                </c:pt>
                <c:pt idx="68">
                  <c:v>95.502550823016591</c:v>
                </c:pt>
                <c:pt idx="69">
                  <c:v>95.506712890959903</c:v>
                </c:pt>
                <c:pt idx="70">
                  <c:v>95.510868733102441</c:v>
                </c:pt>
                <c:pt idx="71">
                  <c:v>95.515018362219891</c:v>
                </c:pt>
                <c:pt idx="72">
                  <c:v>95.519161791053989</c:v>
                </c:pt>
                <c:pt idx="73">
                  <c:v>95.523299032312508</c:v>
                </c:pt>
                <c:pt idx="74">
                  <c:v>95.527430098669399</c:v>
                </c:pt>
                <c:pt idx="75">
                  <c:v>95.531555002764861</c:v>
                </c:pt>
                <c:pt idx="76">
                  <c:v>95.535673757205501</c:v>
                </c:pt>
                <c:pt idx="77">
                  <c:v>95.5397863745644</c:v>
                </c:pt>
                <c:pt idx="78">
                  <c:v>95.543892867381146</c:v>
                </c:pt>
                <c:pt idx="79">
                  <c:v>95.547993248162086</c:v>
                </c:pt>
                <c:pt idx="80">
                  <c:v>95.552087529380287</c:v>
                </c:pt>
                <c:pt idx="81">
                  <c:v>95.556175723475661</c:v>
                </c:pt>
                <c:pt idx="82">
                  <c:v>95.560257842855137</c:v>
                </c:pt>
                <c:pt idx="83">
                  <c:v>95.564333899892674</c:v>
                </c:pt>
                <c:pt idx="84">
                  <c:v>95.568403906929419</c:v>
                </c:pt>
                <c:pt idx="85">
                  <c:v>95.572467876273762</c:v>
                </c:pt>
                <c:pt idx="86">
                  <c:v>95.576525820201425</c:v>
                </c:pt>
                <c:pt idx="87">
                  <c:v>95.580577750955626</c:v>
                </c:pt>
                <c:pt idx="88">
                  <c:v>95.5846236807471</c:v>
                </c:pt>
                <c:pt idx="89">
                  <c:v>95.588663621754222</c:v>
                </c:pt>
                <c:pt idx="90">
                  <c:v>95.592697586123137</c:v>
                </c:pt>
                <c:pt idx="91">
                  <c:v>95.596725585967803</c:v>
                </c:pt>
                <c:pt idx="92">
                  <c:v>95.600747633370105</c:v>
                </c:pt>
                <c:pt idx="93">
                  <c:v>95.604763740379937</c:v>
                </c:pt>
                <c:pt idx="94">
                  <c:v>95.608773919015363</c:v>
                </c:pt>
                <c:pt idx="95">
                  <c:v>95.612778181262613</c:v>
                </c:pt>
                <c:pt idx="96">
                  <c:v>95.616776539076227</c:v>
                </c:pt>
                <c:pt idx="97">
                  <c:v>95.620769004379142</c:v>
                </c:pt>
                <c:pt idx="98">
                  <c:v>95.624755589062815</c:v>
                </c:pt>
                <c:pt idx="99">
                  <c:v>95.628736304987257</c:v>
                </c:pt>
                <c:pt idx="100">
                  <c:v>95.632711163981156</c:v>
                </c:pt>
                <c:pt idx="101">
                  <c:v>95.63668017784201</c:v>
                </c:pt>
                <c:pt idx="102">
                  <c:v>95.640643358336092</c:v>
                </c:pt>
                <c:pt idx="103">
                  <c:v>95.644600717198742</c:v>
                </c:pt>
                <c:pt idx="104">
                  <c:v>95.648552266134217</c:v>
                </c:pt>
                <c:pt idx="105">
                  <c:v>95.652498016816011</c:v>
                </c:pt>
                <c:pt idx="106">
                  <c:v>95.656437980886778</c:v>
                </c:pt>
                <c:pt idx="107">
                  <c:v>95.660372169958535</c:v>
                </c:pt>
                <c:pt idx="108">
                  <c:v>95.664300595612644</c:v>
                </c:pt>
                <c:pt idx="109">
                  <c:v>95.668223269400002</c:v>
                </c:pt>
                <c:pt idx="110">
                  <c:v>95.672140202841078</c:v>
                </c:pt>
                <c:pt idx="111">
                  <c:v>95.67605140742603</c:v>
                </c:pt>
                <c:pt idx="112">
                  <c:v>95.679956894614733</c:v>
                </c:pt>
                <c:pt idx="113">
                  <c:v>95.683856675836964</c:v>
                </c:pt>
                <c:pt idx="114">
                  <c:v>95.687750762492371</c:v>
                </c:pt>
                <c:pt idx="115">
                  <c:v>95.69163916595069</c:v>
                </c:pt>
                <c:pt idx="116">
                  <c:v>95.695521897551743</c:v>
                </c:pt>
                <c:pt idx="117">
                  <c:v>95.699398968605536</c:v>
                </c:pt>
                <c:pt idx="118">
                  <c:v>95.703270390392376</c:v>
                </c:pt>
                <c:pt idx="119">
                  <c:v>95.707136174162983</c:v>
                </c:pt>
                <c:pt idx="120">
                  <c:v>95.710996331138404</c:v>
                </c:pt>
                <c:pt idx="121">
                  <c:v>95.714850872510411</c:v>
                </c:pt>
                <c:pt idx="122">
                  <c:v>95.718699809441247</c:v>
                </c:pt>
                <c:pt idx="123">
                  <c:v>95.722543153063981</c:v>
                </c:pt>
                <c:pt idx="124">
                  <c:v>95.726380914482405</c:v>
                </c:pt>
                <c:pt idx="125">
                  <c:v>95.730213104771281</c:v>
                </c:pt>
                <c:pt idx="126">
                  <c:v>95.73403973497625</c:v>
                </c:pt>
                <c:pt idx="127">
                  <c:v>95.737860816114079</c:v>
                </c:pt>
                <c:pt idx="128">
                  <c:v>95.741676359172601</c:v>
                </c:pt>
                <c:pt idx="129">
                  <c:v>95.745486375110971</c:v>
                </c:pt>
                <c:pt idx="130">
                  <c:v>95.749290874859554</c:v>
                </c:pt>
                <c:pt idx="131">
                  <c:v>95.753089869320149</c:v>
                </c:pt>
                <c:pt idx="132">
                  <c:v>95.756883369366037</c:v>
                </c:pt>
                <c:pt idx="133">
                  <c:v>95.760671385842016</c:v>
                </c:pt>
                <c:pt idx="134">
                  <c:v>95.764453929564539</c:v>
                </c:pt>
                <c:pt idx="135">
                  <c:v>95.768231011321831</c:v>
                </c:pt>
                <c:pt idx="136">
                  <c:v>95.772002641873797</c:v>
                </c:pt>
                <c:pt idx="137">
                  <c:v>95.77576883195232</c:v>
                </c:pt>
                <c:pt idx="138">
                  <c:v>95.779529592261269</c:v>
                </c:pt>
                <c:pt idx="139">
                  <c:v>95.783284933476438</c:v>
                </c:pt>
                <c:pt idx="140">
                  <c:v>95.787034866245861</c:v>
                </c:pt>
                <c:pt idx="141">
                  <c:v>95.790779401189724</c:v>
                </c:pt>
                <c:pt idx="142">
                  <c:v>95.794518548900484</c:v>
                </c:pt>
                <c:pt idx="143">
                  <c:v>95.798252319943018</c:v>
                </c:pt>
                <c:pt idx="144">
                  <c:v>95.80198072485463</c:v>
                </c:pt>
                <c:pt idx="145">
                  <c:v>95.805703774145101</c:v>
                </c:pt>
                <c:pt idx="146">
                  <c:v>95.809421478296869</c:v>
                </c:pt>
                <c:pt idx="147">
                  <c:v>95.813133847765059</c:v>
                </c:pt>
                <c:pt idx="148">
                  <c:v>95.816840892977496</c:v>
                </c:pt>
                <c:pt idx="149">
                  <c:v>95.820542624334905</c:v>
                </c:pt>
                <c:pt idx="150">
                  <c:v>95.824239052210899</c:v>
                </c:pt>
              </c:numCache>
            </c:numRef>
          </c:yVal>
          <c:smooth val="0"/>
          <c:extLst>
            <c:ext xmlns:c16="http://schemas.microsoft.com/office/drawing/2014/chart" uri="{C3380CC4-5D6E-409C-BE32-E72D297353CC}">
              <c16:uniqueId val="{00000000-A9EB-4B3D-B1F8-864F59D7502D}"/>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Eff_vs_VIN!$AI$7:$AI$157</c:f>
              <c:numCache>
                <c:formatCode>General</c:formatCode>
                <c:ptCount val="151"/>
                <c:pt idx="0">
                  <c:v>0.89070383974028278</c:v>
                </c:pt>
                <c:pt idx="1">
                  <c:v>0.88947627159510523</c:v>
                </c:pt>
                <c:pt idx="2">
                  <c:v>0.88825094208854549</c:v>
                </c:pt>
                <c:pt idx="3">
                  <c:v>0.88702784592463946</c:v>
                </c:pt>
                <c:pt idx="4">
                  <c:v>0.88580697782299489</c:v>
                </c:pt>
                <c:pt idx="5">
                  <c:v>0.88458833251873958</c:v>
                </c:pt>
                <c:pt idx="6">
                  <c:v>0.88337190476246485</c:v>
                </c:pt>
                <c:pt idx="7">
                  <c:v>0.88215768932017191</c:v>
                </c:pt>
                <c:pt idx="8">
                  <c:v>0.88094568097322012</c:v>
                </c:pt>
                <c:pt idx="9">
                  <c:v>0.87973587451826962</c:v>
                </c:pt>
                <c:pt idx="10">
                  <c:v>0.87852826476723067</c:v>
                </c:pt>
                <c:pt idx="11">
                  <c:v>0.8773228465472076</c:v>
                </c:pt>
                <c:pt idx="12">
                  <c:v>0.87611961470044997</c:v>
                </c:pt>
                <c:pt idx="13">
                  <c:v>0.87491856408429469</c:v>
                </c:pt>
                <c:pt idx="14">
                  <c:v>0.87371968957111723</c:v>
                </c:pt>
                <c:pt idx="15">
                  <c:v>0.87252298604827749</c:v>
                </c:pt>
                <c:pt idx="16">
                  <c:v>0.87132844841806678</c:v>
                </c:pt>
                <c:pt idx="17">
                  <c:v>0.87013607159765871</c:v>
                </c:pt>
                <c:pt idx="18">
                  <c:v>0.86894585051905426</c:v>
                </c:pt>
                <c:pt idx="19">
                  <c:v>0.86775778012903071</c:v>
                </c:pt>
                <c:pt idx="20">
                  <c:v>0.86657185538909354</c:v>
                </c:pt>
                <c:pt idx="21">
                  <c:v>0.8653880712754195</c:v>
                </c:pt>
                <c:pt idx="22">
                  <c:v>0.8642064227788111</c:v>
                </c:pt>
                <c:pt idx="23">
                  <c:v>0.86302690490464262</c:v>
                </c:pt>
                <c:pt idx="24">
                  <c:v>0.8618495126728114</c:v>
                </c:pt>
                <c:pt idx="25">
                  <c:v>0.86067424111768442</c:v>
                </c:pt>
                <c:pt idx="26">
                  <c:v>0.8595010852880518</c:v>
                </c:pt>
                <c:pt idx="27">
                  <c:v>0.85833004024707571</c:v>
                </c:pt>
                <c:pt idx="28">
                  <c:v>0.85716110107223886</c:v>
                </c:pt>
                <c:pt idx="29">
                  <c:v>0.85599426285529723</c:v>
                </c:pt>
                <c:pt idx="30">
                  <c:v>0.85482952070222906</c:v>
                </c:pt>
                <c:pt idx="31">
                  <c:v>0.85366686973318662</c:v>
                </c:pt>
                <c:pt idx="32">
                  <c:v>0.85250630508244774</c:v>
                </c:pt>
                <c:pt idx="33">
                  <c:v>0.85134782189836433</c:v>
                </c:pt>
                <c:pt idx="34">
                  <c:v>0.85019141534331855</c:v>
                </c:pt>
                <c:pt idx="35">
                  <c:v>0.84903708059366823</c:v>
                </c:pt>
                <c:pt idx="36">
                  <c:v>0.84788481283970485</c:v>
                </c:pt>
                <c:pt idx="37">
                  <c:v>0.84673460728560168</c:v>
                </c:pt>
                <c:pt idx="38">
                  <c:v>0.8455864591493667</c:v>
                </c:pt>
                <c:pt idx="39">
                  <c:v>0.8444403636627964</c:v>
                </c:pt>
                <c:pt idx="40">
                  <c:v>0.84329631607142597</c:v>
                </c:pt>
                <c:pt idx="41">
                  <c:v>0.84215431163448495</c:v>
                </c:pt>
                <c:pt idx="42">
                  <c:v>0.84101434562484678</c:v>
                </c:pt>
                <c:pt idx="43">
                  <c:v>0.83987641332898444</c:v>
                </c:pt>
                <c:pt idx="44">
                  <c:v>0.83874051004692451</c:v>
                </c:pt>
                <c:pt idx="45">
                  <c:v>0.83760663109219691</c:v>
                </c:pt>
                <c:pt idx="46">
                  <c:v>0.83647477179179308</c:v>
                </c:pt>
                <c:pt idx="47">
                  <c:v>0.83534492748611644</c:v>
                </c:pt>
                <c:pt idx="48">
                  <c:v>0.83421709352893758</c:v>
                </c:pt>
                <c:pt idx="49">
                  <c:v>0.83309126528734989</c:v>
                </c:pt>
                <c:pt idx="50">
                  <c:v>0.83196743814172169</c:v>
                </c:pt>
                <c:pt idx="51">
                  <c:v>0.83084560748565262</c:v>
                </c:pt>
                <c:pt idx="52">
                  <c:v>0.82972576872592696</c:v>
                </c:pt>
                <c:pt idx="53">
                  <c:v>0.82860791728247007</c:v>
                </c:pt>
                <c:pt idx="54">
                  <c:v>0.82749204858830216</c:v>
                </c:pt>
                <c:pt idx="55">
                  <c:v>0.82637815808949466</c:v>
                </c:pt>
                <c:pt idx="56">
                  <c:v>0.82526624124512593</c:v>
                </c:pt>
                <c:pt idx="57">
                  <c:v>0.8241562935272343</c:v>
                </c:pt>
                <c:pt idx="58">
                  <c:v>0.82304831042077864</c:v>
                </c:pt>
                <c:pt idx="59">
                  <c:v>0.82194228742358955</c:v>
                </c:pt>
                <c:pt idx="60">
                  <c:v>0.82083822004632845</c:v>
                </c:pt>
                <c:pt idx="61">
                  <c:v>0.81973610381244311</c:v>
                </c:pt>
                <c:pt idx="62">
                  <c:v>0.81863593425812464</c:v>
                </c:pt>
                <c:pt idx="63">
                  <c:v>0.81753770693226346</c:v>
                </c:pt>
                <c:pt idx="64">
                  <c:v>0.8164414173964063</c:v>
                </c:pt>
                <c:pt idx="65">
                  <c:v>0.81534706122471334</c:v>
                </c:pt>
                <c:pt idx="66">
                  <c:v>0.81425463400391718</c:v>
                </c:pt>
                <c:pt idx="67">
                  <c:v>0.81316413133327625</c:v>
                </c:pt>
                <c:pt idx="68">
                  <c:v>0.81207554882453625</c:v>
                </c:pt>
                <c:pt idx="69">
                  <c:v>0.8109888821018858</c:v>
                </c:pt>
                <c:pt idx="70">
                  <c:v>0.80990412680191581</c:v>
                </c:pt>
                <c:pt idx="71">
                  <c:v>0.80882127857357511</c:v>
                </c:pt>
                <c:pt idx="72">
                  <c:v>0.80774033307813098</c:v>
                </c:pt>
                <c:pt idx="73">
                  <c:v>0.80666128598912656</c:v>
                </c:pt>
                <c:pt idx="74">
                  <c:v>0.80558413299233955</c:v>
                </c:pt>
                <c:pt idx="75">
                  <c:v>0.80450886978574165</c:v>
                </c:pt>
                <c:pt idx="76">
                  <c:v>0.80343549207945508</c:v>
                </c:pt>
                <c:pt idx="77">
                  <c:v>0.80236399559571403</c:v>
                </c:pt>
                <c:pt idx="78">
                  <c:v>0.80129437606882381</c:v>
                </c:pt>
                <c:pt idx="79">
                  <c:v>0.80022662924511767</c:v>
                </c:pt>
                <c:pt idx="80">
                  <c:v>0.79916075088291938</c:v>
                </c:pt>
                <c:pt idx="81">
                  <c:v>0.79809673675250137</c:v>
                </c:pt>
                <c:pt idx="82">
                  <c:v>0.7970345826360441</c:v>
                </c:pt>
                <c:pt idx="83">
                  <c:v>0.79597428432759743</c:v>
                </c:pt>
                <c:pt idx="84">
                  <c:v>0.79491583763303852</c:v>
                </c:pt>
                <c:pt idx="85">
                  <c:v>0.7938592383700358</c:v>
                </c:pt>
                <c:pt idx="86">
                  <c:v>0.79280448236800516</c:v>
                </c:pt>
                <c:pt idx="87">
                  <c:v>0.79175156546807379</c:v>
                </c:pt>
                <c:pt idx="88">
                  <c:v>0.79070048352303912</c:v>
                </c:pt>
                <c:pt idx="89">
                  <c:v>0.78965123239732971</c:v>
                </c:pt>
                <c:pt idx="90">
                  <c:v>0.78860380796696861</c:v>
                </c:pt>
                <c:pt idx="91">
                  <c:v>0.78755820611953098</c:v>
                </c:pt>
                <c:pt idx="92">
                  <c:v>0.78651442275410854</c:v>
                </c:pt>
                <c:pt idx="93">
                  <c:v>0.78547245378126918</c:v>
                </c:pt>
                <c:pt idx="94">
                  <c:v>0.78443229512301937</c:v>
                </c:pt>
                <c:pt idx="95">
                  <c:v>0.78339394271276586</c:v>
                </c:pt>
                <c:pt idx="96">
                  <c:v>0.78235739249527725</c:v>
                </c:pt>
                <c:pt idx="97">
                  <c:v>0.78132264042664756</c:v>
                </c:pt>
                <c:pt idx="98">
                  <c:v>0.78028968247425601</c:v>
                </c:pt>
                <c:pt idx="99">
                  <c:v>0.77925851461673079</c:v>
                </c:pt>
                <c:pt idx="100">
                  <c:v>0.77822913284391293</c:v>
                </c:pt>
                <c:pt idx="101">
                  <c:v>0.77720153315681595</c:v>
                </c:pt>
                <c:pt idx="102">
                  <c:v>0.77617571156759135</c:v>
                </c:pt>
                <c:pt idx="103">
                  <c:v>0.77515166409948955</c:v>
                </c:pt>
                <c:pt idx="104">
                  <c:v>0.7741293867868253</c:v>
                </c:pt>
                <c:pt idx="105">
                  <c:v>0.77310887567493825</c:v>
                </c:pt>
                <c:pt idx="106">
                  <c:v>0.77209012682015765</c:v>
                </c:pt>
                <c:pt idx="107">
                  <c:v>0.77107313628976781</c:v>
                </c:pt>
                <c:pt idx="108">
                  <c:v>0.77005790016196729</c:v>
                </c:pt>
                <c:pt idx="109">
                  <c:v>0.76904441452583727</c:v>
                </c:pt>
                <c:pt idx="110">
                  <c:v>0.76803267548130183</c:v>
                </c:pt>
                <c:pt idx="111">
                  <c:v>0.76702267913909516</c:v>
                </c:pt>
                <c:pt idx="112">
                  <c:v>0.76601442162072364</c:v>
                </c:pt>
                <c:pt idx="113">
                  <c:v>0.76500789905843014</c:v>
                </c:pt>
                <c:pt idx="114">
                  <c:v>0.76400310759516088</c:v>
                </c:pt>
                <c:pt idx="115">
                  <c:v>0.76300004338452654</c:v>
                </c:pt>
                <c:pt idx="116">
                  <c:v>0.76199870259077085</c:v>
                </c:pt>
                <c:pt idx="117">
                  <c:v>0.76099908138873218</c:v>
                </c:pt>
                <c:pt idx="118">
                  <c:v>0.76000117596380967</c:v>
                </c:pt>
                <c:pt idx="119">
                  <c:v>0.75900498251193005</c:v>
                </c:pt>
                <c:pt idx="120">
                  <c:v>0.75801049723950986</c:v>
                </c:pt>
                <c:pt idx="121">
                  <c:v>0.75701771636342452</c:v>
                </c:pt>
                <c:pt idx="122">
                  <c:v>0.75602663611096999</c:v>
                </c:pt>
                <c:pt idx="123">
                  <c:v>0.75503725271983169</c:v>
                </c:pt>
                <c:pt idx="124">
                  <c:v>0.75404956243804855</c:v>
                </c:pt>
                <c:pt idx="125">
                  <c:v>0.75306356152397935</c:v>
                </c:pt>
                <c:pt idx="126">
                  <c:v>0.75207924624626932</c:v>
                </c:pt>
                <c:pt idx="127">
                  <c:v>0.75109661288381557</c:v>
                </c:pt>
                <c:pt idx="128">
                  <c:v>0.75011565772573396</c:v>
                </c:pt>
                <c:pt idx="129">
                  <c:v>0.7491363770713253</c:v>
                </c:pt>
                <c:pt idx="130">
                  <c:v>0.74815876723004215</c:v>
                </c:pt>
                <c:pt idx="131">
                  <c:v>0.74718282452145579</c:v>
                </c:pt>
                <c:pt idx="132">
                  <c:v>0.74620854527522162</c:v>
                </c:pt>
                <c:pt idx="133">
                  <c:v>0.74523592583104881</c:v>
                </c:pt>
                <c:pt idx="134">
                  <c:v>0.74426496253866437</c:v>
                </c:pt>
                <c:pt idx="135">
                  <c:v>0.74329565175778223</c:v>
                </c:pt>
                <c:pt idx="136">
                  <c:v>0.74232798985807136</c:v>
                </c:pt>
                <c:pt idx="137">
                  <c:v>0.74136197321912034</c:v>
                </c:pt>
                <c:pt idx="138">
                  <c:v>0.74039759823040807</c:v>
                </c:pt>
                <c:pt idx="139">
                  <c:v>0.7394348612912689</c:v>
                </c:pt>
                <c:pt idx="140">
                  <c:v>0.73847375881086186</c:v>
                </c:pt>
                <c:pt idx="141">
                  <c:v>0.73751428720813994</c:v>
                </c:pt>
                <c:pt idx="142">
                  <c:v>0.73655644291181455</c:v>
                </c:pt>
                <c:pt idx="143">
                  <c:v>0.73560022236032729</c:v>
                </c:pt>
                <c:pt idx="144">
                  <c:v>0.73464562200181582</c:v>
                </c:pt>
                <c:pt idx="145">
                  <c:v>0.73369263829408415</c:v>
                </c:pt>
                <c:pt idx="146">
                  <c:v>0.73274126770456993</c:v>
                </c:pt>
                <c:pt idx="147">
                  <c:v>0.7317915067103129</c:v>
                </c:pt>
                <c:pt idx="148">
                  <c:v>0.73084335179792514</c:v>
                </c:pt>
                <c:pt idx="149">
                  <c:v>0.72989679946355901</c:v>
                </c:pt>
                <c:pt idx="150">
                  <c:v>0.72895184621287634</c:v>
                </c:pt>
              </c:numCache>
            </c:numRef>
          </c:yVal>
          <c:smooth val="1"/>
          <c:extLst>
            <c:ext xmlns:c16="http://schemas.microsoft.com/office/drawing/2014/chart" uri="{C3380CC4-5D6E-409C-BE32-E72D297353CC}">
              <c16:uniqueId val="{00000001-A9EB-4B3D-B1F8-864F59D7502D}"/>
            </c:ext>
          </c:extLst>
        </c:ser>
        <c:ser>
          <c:idx val="2"/>
          <c:order val="2"/>
          <c:tx>
            <c:v>HS MOSFET</c:v>
          </c:tx>
          <c:spPr>
            <a:ln>
              <a:solidFill>
                <a:schemeClr val="bg2">
                  <a:lumMod val="50000"/>
                </a:schemeClr>
              </a:solidFill>
              <a:prstDash val="sysDash"/>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Eff_vs_VIN!$AO$7:$AO$157</c:f>
              <c:numCache>
                <c:formatCode>General</c:formatCode>
                <c:ptCount val="151"/>
                <c:pt idx="0">
                  <c:v>1.0610148238230848</c:v>
                </c:pt>
                <c:pt idx="1">
                  <c:v>1.0604918075377909</c:v>
                </c:pt>
                <c:pt idx="2">
                  <c:v>1.0599693671805361</c:v>
                </c:pt>
                <c:pt idx="3">
                  <c:v>1.05944750171136</c:v>
                </c:pt>
                <c:pt idx="4">
                  <c:v>1.0589262100927517</c:v>
                </c:pt>
                <c:pt idx="5">
                  <c:v>1.0584054912896452</c:v>
                </c:pt>
                <c:pt idx="6">
                  <c:v>1.0578853442694112</c:v>
                </c:pt>
                <c:pt idx="7">
                  <c:v>1.0573657680018507</c:v>
                </c:pt>
                <c:pt idx="8">
                  <c:v>1.0568467614591899</c:v>
                </c:pt>
                <c:pt idx="9">
                  <c:v>1.056328323616071</c:v>
                </c:pt>
                <c:pt idx="10">
                  <c:v>1.055810453449546</c:v>
                </c:pt>
                <c:pt idx="11">
                  <c:v>1.0552931499390696</c:v>
                </c:pt>
                <c:pt idx="12">
                  <c:v>1.0547764120664962</c:v>
                </c:pt>
                <c:pt idx="13">
                  <c:v>1.0542602388160667</c:v>
                </c:pt>
                <c:pt idx="14">
                  <c:v>1.0537446291744073</c:v>
                </c:pt>
                <c:pt idx="15">
                  <c:v>1.0532295821305206</c:v>
                </c:pt>
                <c:pt idx="16">
                  <c:v>1.052715096675779</c:v>
                </c:pt>
                <c:pt idx="17">
                  <c:v>1.052201171803919</c:v>
                </c:pt>
                <c:pt idx="18">
                  <c:v>1.0516878065110336</c:v>
                </c:pt>
                <c:pt idx="19">
                  <c:v>1.0511749997955653</c:v>
                </c:pt>
                <c:pt idx="20">
                  <c:v>1.0506627506583028</c:v>
                </c:pt>
                <c:pt idx="21">
                  <c:v>1.0501510581023701</c:v>
                </c:pt>
                <c:pt idx="22">
                  <c:v>1.0496399211332228</c:v>
                </c:pt>
                <c:pt idx="23">
                  <c:v>1.04912933875864</c:v>
                </c:pt>
                <c:pt idx="24">
                  <c:v>1.0486193099887215</c:v>
                </c:pt>
                <c:pt idx="25">
                  <c:v>1.0481098338358756</c:v>
                </c:pt>
                <c:pt idx="26">
                  <c:v>1.0476009093148166</c:v>
                </c:pt>
                <c:pt idx="27">
                  <c:v>1.0470925354425593</c:v>
                </c:pt>
                <c:pt idx="28">
                  <c:v>1.046584711238409</c:v>
                </c:pt>
                <c:pt idx="29">
                  <c:v>1.0460774357239573</c:v>
                </c:pt>
                <c:pt idx="30">
                  <c:v>1.0455707079230767</c:v>
                </c:pt>
                <c:pt idx="31">
                  <c:v>1.0450645268619132</c:v>
                </c:pt>
                <c:pt idx="32">
                  <c:v>1.0445588915688793</c:v>
                </c:pt>
                <c:pt idx="33">
                  <c:v>1.0440538010746485</c:v>
                </c:pt>
                <c:pt idx="34">
                  <c:v>1.0435492544121503</c:v>
                </c:pt>
                <c:pt idx="35">
                  <c:v>1.0430452506165606</c:v>
                </c:pt>
                <c:pt idx="36">
                  <c:v>1.042541788725301</c:v>
                </c:pt>
                <c:pt idx="37">
                  <c:v>1.042038867778027</c:v>
                </c:pt>
                <c:pt idx="38">
                  <c:v>1.041536486816625</c:v>
                </c:pt>
                <c:pt idx="39">
                  <c:v>1.0410346448852055</c:v>
                </c:pt>
                <c:pt idx="40">
                  <c:v>1.0405333410300974</c:v>
                </c:pt>
                <c:pt idx="41">
                  <c:v>1.0400325742998402</c:v>
                </c:pt>
                <c:pt idx="42">
                  <c:v>1.0395323437451813</c:v>
                </c:pt>
                <c:pt idx="43">
                  <c:v>1.0390326484190657</c:v>
                </c:pt>
                <c:pt idx="44">
                  <c:v>1.0385334873766345</c:v>
                </c:pt>
                <c:pt idx="45">
                  <c:v>1.0380348596752147</c:v>
                </c:pt>
                <c:pt idx="46">
                  <c:v>1.0375367643743172</c:v>
                </c:pt>
                <c:pt idx="47">
                  <c:v>1.0370392005356266</c:v>
                </c:pt>
                <c:pt idx="48">
                  <c:v>1.0365421672229991</c:v>
                </c:pt>
                <c:pt idx="49">
                  <c:v>1.0360456635024546</c:v>
                </c:pt>
                <c:pt idx="50">
                  <c:v>1.0355496884421718</c:v>
                </c:pt>
                <c:pt idx="51">
                  <c:v>1.0350542411124806</c:v>
                </c:pt>
                <c:pt idx="52">
                  <c:v>1.0345593205858579</c:v>
                </c:pt>
                <c:pt idx="53">
                  <c:v>1.0340649259369223</c:v>
                </c:pt>
                <c:pt idx="54">
                  <c:v>1.0335710562424261</c:v>
                </c:pt>
                <c:pt idx="55">
                  <c:v>1.0330777105812512</c:v>
                </c:pt>
                <c:pt idx="56">
                  <c:v>1.0325848880344026</c:v>
                </c:pt>
                <c:pt idx="57">
                  <c:v>1.0320925876850036</c:v>
                </c:pt>
                <c:pt idx="58">
                  <c:v>1.0316008086182888</c:v>
                </c:pt>
                <c:pt idx="59">
                  <c:v>1.0311095499215994</c:v>
                </c:pt>
                <c:pt idx="60">
                  <c:v>1.0306188106843766</c:v>
                </c:pt>
                <c:pt idx="61">
                  <c:v>1.0301285899981565</c:v>
                </c:pt>
                <c:pt idx="62">
                  <c:v>1.0296388869565651</c:v>
                </c:pt>
                <c:pt idx="63">
                  <c:v>1.0291497006553116</c:v>
                </c:pt>
                <c:pt idx="64">
                  <c:v>1.0286610301921819</c:v>
                </c:pt>
                <c:pt idx="65">
                  <c:v>1.0281728746670369</c:v>
                </c:pt>
                <c:pt idx="66">
                  <c:v>1.0276852331818027</c:v>
                </c:pt>
                <c:pt idx="67">
                  <c:v>1.0271981048404659</c:v>
                </c:pt>
                <c:pt idx="68">
                  <c:v>1.0267114887490703</c:v>
                </c:pt>
                <c:pt idx="69">
                  <c:v>1.0262253840157092</c:v>
                </c:pt>
                <c:pt idx="70">
                  <c:v>1.0257397897505209</c:v>
                </c:pt>
                <c:pt idx="71">
                  <c:v>1.0252547050656824</c:v>
                </c:pt>
                <c:pt idx="72">
                  <c:v>1.0247701290754052</c:v>
                </c:pt>
                <c:pt idx="73">
                  <c:v>1.0242860608959288</c:v>
                </c:pt>
                <c:pt idx="74">
                  <c:v>1.0238024996455148</c:v>
                </c:pt>
                <c:pt idx="75">
                  <c:v>1.0233194444444447</c:v>
                </c:pt>
                <c:pt idx="76">
                  <c:v>1.0228368944150088</c:v>
                </c:pt>
                <c:pt idx="77">
                  <c:v>1.0223548486815071</c:v>
                </c:pt>
                <c:pt idx="78">
                  <c:v>1.0218733063702397</c:v>
                </c:pt>
                <c:pt idx="79">
                  <c:v>1.0213922666095019</c:v>
                </c:pt>
                <c:pt idx="80">
                  <c:v>1.0209117285295817</c:v>
                </c:pt>
                <c:pt idx="81">
                  <c:v>1.0204316912627511</c:v>
                </c:pt>
                <c:pt idx="82">
                  <c:v>1.0199521539432637</c:v>
                </c:pt>
                <c:pt idx="83">
                  <c:v>1.0194731157073464</c:v>
                </c:pt>
                <c:pt idx="84">
                  <c:v>1.0189945756931964</c:v>
                </c:pt>
                <c:pt idx="85">
                  <c:v>1.0185165330409762</c:v>
                </c:pt>
                <c:pt idx="86">
                  <c:v>1.0180389868928064</c:v>
                </c:pt>
                <c:pt idx="87">
                  <c:v>1.0175619363927622</c:v>
                </c:pt>
                <c:pt idx="88">
                  <c:v>1.017085380686868</c:v>
                </c:pt>
                <c:pt idx="89">
                  <c:v>1.0166093189230911</c:v>
                </c:pt>
                <c:pt idx="90">
                  <c:v>1.0161337502513388</c:v>
                </c:pt>
                <c:pt idx="91">
                  <c:v>1.0156586738234501</c:v>
                </c:pt>
                <c:pt idx="92">
                  <c:v>1.0151840887931942</c:v>
                </c:pt>
                <c:pt idx="93">
                  <c:v>1.0147099943162621</c:v>
                </c:pt>
                <c:pt idx="94">
                  <c:v>1.0142363895502642</c:v>
                </c:pt>
                <c:pt idx="95">
                  <c:v>1.0137632736547231</c:v>
                </c:pt>
                <c:pt idx="96">
                  <c:v>1.0132906457910698</c:v>
                </c:pt>
                <c:pt idx="97">
                  <c:v>1.0128185051226397</c:v>
                </c:pt>
                <c:pt idx="98">
                  <c:v>1.0123468508146647</c:v>
                </c:pt>
                <c:pt idx="99">
                  <c:v>1.0118756820342705</c:v>
                </c:pt>
                <c:pt idx="100">
                  <c:v>1.0114049979504709</c:v>
                </c:pt>
                <c:pt idx="101">
                  <c:v>1.0109347977341629</c:v>
                </c:pt>
                <c:pt idx="102">
                  <c:v>1.0104650805581223</c:v>
                </c:pt>
                <c:pt idx="103">
                  <c:v>1.0099958455969973</c:v>
                </c:pt>
                <c:pt idx="104">
                  <c:v>1.0095270920273058</c:v>
                </c:pt>
                <c:pt idx="105">
                  <c:v>1.0090588190274272</c:v>
                </c:pt>
                <c:pt idx="106">
                  <c:v>1.0085910257776027</c:v>
                </c:pt>
                <c:pt idx="107">
                  <c:v>1.0081237114599251</c:v>
                </c:pt>
                <c:pt idx="108">
                  <c:v>1.007656875258337</c:v>
                </c:pt>
                <c:pt idx="109">
                  <c:v>1.0071905163586243</c:v>
                </c:pt>
                <c:pt idx="110">
                  <c:v>1.0067246339484144</c:v>
                </c:pt>
                <c:pt idx="111">
                  <c:v>1.0062592272171669</c:v>
                </c:pt>
                <c:pt idx="112">
                  <c:v>1.0057942953561732</c:v>
                </c:pt>
                <c:pt idx="113">
                  <c:v>1.005329837558548</c:v>
                </c:pt>
                <c:pt idx="114">
                  <c:v>1.0048658530192278</c:v>
                </c:pt>
                <c:pt idx="115">
                  <c:v>1.0044023409349643</c:v>
                </c:pt>
                <c:pt idx="116">
                  <c:v>1.00393930050432</c:v>
                </c:pt>
                <c:pt idx="117">
                  <c:v>1.0034767309276638</c:v>
                </c:pt>
                <c:pt idx="118">
                  <c:v>1.0030146314071651</c:v>
                </c:pt>
                <c:pt idx="119">
                  <c:v>1.0025530011467922</c:v>
                </c:pt>
                <c:pt idx="120">
                  <c:v>1.0020918393523037</c:v>
                </c:pt>
                <c:pt idx="121">
                  <c:v>1.001631145231247</c:v>
                </c:pt>
                <c:pt idx="122">
                  <c:v>1.0011709179929515</c:v>
                </c:pt>
                <c:pt idx="123">
                  <c:v>1.0007111568485263</c:v>
                </c:pt>
                <c:pt idx="124">
                  <c:v>1.0002518610108531</c:v>
                </c:pt>
                <c:pt idx="125">
                  <c:v>0.9997930296945835</c:v>
                </c:pt>
                <c:pt idx="126">
                  <c:v>0.99933466211613275</c:v>
                </c:pt>
                <c:pt idx="127">
                  <c:v>0.99887675749367766</c:v>
                </c:pt>
                <c:pt idx="128">
                  <c:v>0.99841931504714987</c:v>
                </c:pt>
                <c:pt idx="129">
                  <c:v>0.9979623339982322</c:v>
                </c:pt>
                <c:pt idx="130">
                  <c:v>0.99750581357035362</c:v>
                </c:pt>
                <c:pt idx="131">
                  <c:v>0.99704975298868559</c:v>
                </c:pt>
                <c:pt idx="132">
                  <c:v>0.99659415148013775</c:v>
                </c:pt>
                <c:pt idx="133">
                  <c:v>0.99613900827335233</c:v>
                </c:pt>
                <c:pt idx="134">
                  <c:v>0.99568432259869932</c:v>
                </c:pt>
                <c:pt idx="135">
                  <c:v>0.99523009368827497</c:v>
                </c:pt>
                <c:pt idx="136">
                  <c:v>0.99477632077589484</c:v>
                </c:pt>
                <c:pt idx="137">
                  <c:v>0.99432300309708921</c:v>
                </c:pt>
                <c:pt idx="138">
                  <c:v>0.99387013988909922</c:v>
                </c:pt>
                <c:pt idx="139">
                  <c:v>0.99341773039087466</c:v>
                </c:pt>
                <c:pt idx="140">
                  <c:v>0.99296577384306528</c:v>
                </c:pt>
                <c:pt idx="141">
                  <c:v>0.99251426948802202</c:v>
                </c:pt>
                <c:pt idx="142">
                  <c:v>0.99206321656978569</c:v>
                </c:pt>
                <c:pt idx="143">
                  <c:v>0.99161261433409031</c:v>
                </c:pt>
                <c:pt idx="144">
                  <c:v>0.99116246202835256</c:v>
                </c:pt>
                <c:pt idx="145">
                  <c:v>0.99071275890167043</c:v>
                </c:pt>
                <c:pt idx="146">
                  <c:v>0.99026350420481979</c:v>
                </c:pt>
                <c:pt idx="147">
                  <c:v>0.98981469719024706</c:v>
                </c:pt>
                <c:pt idx="148">
                  <c:v>0.98936633711206756</c:v>
                </c:pt>
                <c:pt idx="149">
                  <c:v>0.98891842322606094</c:v>
                </c:pt>
                <c:pt idx="150">
                  <c:v>0.98847095478966651</c:v>
                </c:pt>
              </c:numCache>
            </c:numRef>
          </c:yVal>
          <c:smooth val="1"/>
          <c:extLst>
            <c:ext xmlns:c16="http://schemas.microsoft.com/office/drawing/2014/chart" uri="{C3380CC4-5D6E-409C-BE32-E72D297353CC}">
              <c16:uniqueId val="{00000002-A9EB-4B3D-B1F8-864F59D7502D}"/>
            </c:ext>
          </c:extLst>
        </c:ser>
        <c:ser>
          <c:idx val="3"/>
          <c:order val="3"/>
          <c:tx>
            <c:v>RCS</c:v>
          </c:tx>
          <c:spPr>
            <a:ln>
              <a:solidFill>
                <a:schemeClr val="accent5">
                  <a:lumMod val="75000"/>
                </a:schemeClr>
              </a:solidFill>
              <a:prstDash val="lgDashDot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Eff_vs_VIN!$AP$7:$AP$157</c:f>
              <c:numCache>
                <c:formatCode>General</c:formatCode>
                <c:ptCount val="151"/>
                <c:pt idx="0">
                  <c:v>0.40267813521003015</c:v>
                </c:pt>
                <c:pt idx="1">
                  <c:v>0.40221206763818934</c:v>
                </c:pt>
                <c:pt idx="2">
                  <c:v>0.40174680413206765</c:v>
                </c:pt>
                <c:pt idx="3">
                  <c:v>0.40128234282885988</c:v>
                </c:pt>
                <c:pt idx="4">
                  <c:v>0.4008186818711727</c:v>
                </c:pt>
                <c:pt idx="5">
                  <c:v>0.40035581940700637</c:v>
                </c:pt>
                <c:pt idx="6">
                  <c:v>0.39989375358973506</c:v>
                </c:pt>
                <c:pt idx="7">
                  <c:v>0.39943248257808972</c:v>
                </c:pt>
                <c:pt idx="8">
                  <c:v>0.39897200453613935</c:v>
                </c:pt>
                <c:pt idx="9">
                  <c:v>0.39851231763327105</c:v>
                </c:pt>
                <c:pt idx="10">
                  <c:v>0.39805342004417388</c:v>
                </c:pt>
                <c:pt idx="11">
                  <c:v>0.3975953099488187</c:v>
                </c:pt>
                <c:pt idx="12">
                  <c:v>0.39713798553244156</c:v>
                </c:pt>
                <c:pt idx="13">
                  <c:v>0.39668144498552399</c:v>
                </c:pt>
                <c:pt idx="14">
                  <c:v>0.39622568650377621</c:v>
                </c:pt>
                <c:pt idx="15">
                  <c:v>0.39577070828811872</c:v>
                </c:pt>
                <c:pt idx="16">
                  <c:v>0.3953165085446641</c:v>
                </c:pt>
                <c:pt idx="17">
                  <c:v>0.39486308548469978</c:v>
                </c:pt>
                <c:pt idx="18">
                  <c:v>0.39441043732466963</c:v>
                </c:pt>
                <c:pt idx="19">
                  <c:v>0.39395856228615678</c:v>
                </c:pt>
                <c:pt idx="20">
                  <c:v>0.39350745859586572</c:v>
                </c:pt>
                <c:pt idx="21">
                  <c:v>0.39305712448560481</c:v>
                </c:pt>
                <c:pt idx="22">
                  <c:v>0.39260755819226884</c:v>
                </c:pt>
                <c:pt idx="23">
                  <c:v>0.39215875795782135</c:v>
                </c:pt>
                <c:pt idx="24">
                  <c:v>0.39171072202927837</c:v>
                </c:pt>
                <c:pt idx="25">
                  <c:v>0.39126344865868917</c:v>
                </c:pt>
                <c:pt idx="26">
                  <c:v>0.3908169361031209</c:v>
                </c:pt>
                <c:pt idx="27">
                  <c:v>0.39037118262464077</c:v>
                </c:pt>
                <c:pt idx="28">
                  <c:v>0.38992618649029853</c:v>
                </c:pt>
                <c:pt idx="29">
                  <c:v>0.38948194597211039</c:v>
                </c:pt>
                <c:pt idx="30">
                  <c:v>0.3890384593470414</c:v>
                </c:pt>
                <c:pt idx="31">
                  <c:v>0.38859572489698863</c:v>
                </c:pt>
                <c:pt idx="32">
                  <c:v>0.38815374090876514</c:v>
                </c:pt>
                <c:pt idx="33">
                  <c:v>0.38771250567408183</c:v>
                </c:pt>
                <c:pt idx="34">
                  <c:v>0.38727201748953244</c:v>
                </c:pt>
                <c:pt idx="35">
                  <c:v>0.38683227465657527</c:v>
                </c:pt>
                <c:pt idx="36">
                  <c:v>0.38639327548151847</c:v>
                </c:pt>
                <c:pt idx="37">
                  <c:v>0.38595501827550166</c:v>
                </c:pt>
                <c:pt idx="38">
                  <c:v>0.38551750135448121</c:v>
                </c:pt>
                <c:pt idx="39">
                  <c:v>0.38508072303921287</c:v>
                </c:pt>
                <c:pt idx="40">
                  <c:v>0.38464468165523585</c:v>
                </c:pt>
                <c:pt idx="41">
                  <c:v>0.38420937553285661</c:v>
                </c:pt>
                <c:pt idx="42">
                  <c:v>0.38377480300713268</c:v>
                </c:pt>
                <c:pt idx="43">
                  <c:v>0.3833409624178562</c:v>
                </c:pt>
                <c:pt idx="44">
                  <c:v>0.38290785210953948</c:v>
                </c:pt>
                <c:pt idx="45">
                  <c:v>0.38247547043139618</c:v>
                </c:pt>
                <c:pt idx="46">
                  <c:v>0.38204381573732871</c:v>
                </c:pt>
                <c:pt idx="47">
                  <c:v>0.3816128863859099</c:v>
                </c:pt>
                <c:pt idx="48">
                  <c:v>0.38118268074036832</c:v>
                </c:pt>
                <c:pt idx="49">
                  <c:v>0.38075319716857237</c:v>
                </c:pt>
                <c:pt idx="50">
                  <c:v>0.38032443404301502</c:v>
                </c:pt>
                <c:pt idx="51">
                  <c:v>0.3798963897407977</c:v>
                </c:pt>
                <c:pt idx="52">
                  <c:v>0.37946906264361469</c:v>
                </c:pt>
                <c:pt idx="53">
                  <c:v>0.37904245113773866</c:v>
                </c:pt>
                <c:pt idx="54">
                  <c:v>0.37861655361400376</c:v>
                </c:pt>
                <c:pt idx="55">
                  <c:v>0.37819136846779194</c:v>
                </c:pt>
                <c:pt idx="56">
                  <c:v>0.3777668940990162</c:v>
                </c:pt>
                <c:pt idx="57">
                  <c:v>0.37734312891210631</c:v>
                </c:pt>
                <c:pt idx="58">
                  <c:v>0.37692007131599342</c:v>
                </c:pt>
                <c:pt idx="59">
                  <c:v>0.37649771972409507</c:v>
                </c:pt>
                <c:pt idx="60">
                  <c:v>0.37607607255429942</c:v>
                </c:pt>
                <c:pt idx="61">
                  <c:v>0.37565512822895142</c:v>
                </c:pt>
                <c:pt idx="62">
                  <c:v>0.37523488517483744</c:v>
                </c:pt>
                <c:pt idx="63">
                  <c:v>0.37481534182317</c:v>
                </c:pt>
                <c:pt idx="64">
                  <c:v>0.3743964966095733</c:v>
                </c:pt>
                <c:pt idx="65">
                  <c:v>0.37397834797406843</c:v>
                </c:pt>
                <c:pt idx="66">
                  <c:v>0.37356089436105921</c:v>
                </c:pt>
                <c:pt idx="67">
                  <c:v>0.37314413421931641</c:v>
                </c:pt>
                <c:pt idx="68">
                  <c:v>0.37272806600196451</c:v>
                </c:pt>
                <c:pt idx="69">
                  <c:v>0.37231268816646595</c:v>
                </c:pt>
                <c:pt idx="70">
                  <c:v>0.37189799917460759</c:v>
                </c:pt>
                <c:pt idx="71">
                  <c:v>0.37148399749248595</c:v>
                </c:pt>
                <c:pt idx="72">
                  <c:v>0.37107068159049278</c:v>
                </c:pt>
                <c:pt idx="73">
                  <c:v>0.37065804994330098</c:v>
                </c:pt>
                <c:pt idx="74">
                  <c:v>0.37024610102985039</c:v>
                </c:pt>
                <c:pt idx="75">
                  <c:v>0.36983483333333333</c:v>
                </c:pt>
                <c:pt idx="76">
                  <c:v>0.36942424534118057</c:v>
                </c:pt>
                <c:pt idx="77">
                  <c:v>0.36901433554504759</c:v>
                </c:pt>
                <c:pt idx="78">
                  <c:v>0.36860510244080014</c:v>
                </c:pt>
                <c:pt idx="79">
                  <c:v>0.36819654452850059</c:v>
                </c:pt>
                <c:pt idx="80">
                  <c:v>0.36778866031239377</c:v>
                </c:pt>
                <c:pt idx="81">
                  <c:v>0.36738144830089348</c:v>
                </c:pt>
                <c:pt idx="82">
                  <c:v>0.36697490700656799</c:v>
                </c:pt>
                <c:pt idx="83">
                  <c:v>0.36656903494612747</c:v>
                </c:pt>
                <c:pt idx="84">
                  <c:v>0.36616383064040886</c:v>
                </c:pt>
                <c:pt idx="85">
                  <c:v>0.36575929261436391</c:v>
                </c:pt>
                <c:pt idx="86">
                  <c:v>0.36535541939704363</c:v>
                </c:pt>
                <c:pt idx="87">
                  <c:v>0.36495220952158625</c:v>
                </c:pt>
                <c:pt idx="88">
                  <c:v>0.36454966152520374</c:v>
                </c:pt>
                <c:pt idx="89">
                  <c:v>0.36414777394916698</c:v>
                </c:pt>
                <c:pt idx="90">
                  <c:v>0.36374654533879419</c:v>
                </c:pt>
                <c:pt idx="91">
                  <c:v>0.36334597424343629</c:v>
                </c:pt>
                <c:pt idx="92">
                  <c:v>0.36294605921646422</c:v>
                </c:pt>
                <c:pt idx="93">
                  <c:v>0.36254679881525576</c:v>
                </c:pt>
                <c:pt idx="94">
                  <c:v>0.36214819160118167</c:v>
                </c:pt>
                <c:pt idx="95">
                  <c:v>0.36175023613959367</c:v>
                </c:pt>
                <c:pt idx="96">
                  <c:v>0.36135293099981036</c:v>
                </c:pt>
                <c:pt idx="97">
                  <c:v>0.36095627475510517</c:v>
                </c:pt>
                <c:pt idx="98">
                  <c:v>0.36056026598269197</c:v>
                </c:pt>
                <c:pt idx="99">
                  <c:v>0.36016490326371392</c:v>
                </c:pt>
                <c:pt idx="100">
                  <c:v>0.35977018518322923</c:v>
                </c:pt>
                <c:pt idx="101">
                  <c:v>0.35937611033019895</c:v>
                </c:pt>
                <c:pt idx="102">
                  <c:v>0.35898267729747402</c:v>
                </c:pt>
                <c:pt idx="103">
                  <c:v>0.35858988468178254</c:v>
                </c:pt>
                <c:pt idx="104">
                  <c:v>0.35819773108371744</c:v>
                </c:pt>
                <c:pt idx="105">
                  <c:v>0.35780621510772342</c:v>
                </c:pt>
                <c:pt idx="106">
                  <c:v>0.35741533536208409</c:v>
                </c:pt>
                <c:pt idx="107">
                  <c:v>0.35702509045891057</c:v>
                </c:pt>
                <c:pt idx="108">
                  <c:v>0.35663547901412779</c:v>
                </c:pt>
                <c:pt idx="109">
                  <c:v>0.35624649964746308</c:v>
                </c:pt>
                <c:pt idx="110">
                  <c:v>0.35585815098243251</c:v>
                </c:pt>
                <c:pt idx="111">
                  <c:v>0.35547043164633019</c:v>
                </c:pt>
                <c:pt idx="112">
                  <c:v>0.35508334027021465</c:v>
                </c:pt>
                <c:pt idx="113">
                  <c:v>0.35469687548889695</c:v>
                </c:pt>
                <c:pt idx="114">
                  <c:v>0.35431103594092878</c:v>
                </c:pt>
                <c:pt idx="115">
                  <c:v>0.35392582026859015</c:v>
                </c:pt>
                <c:pt idx="116">
                  <c:v>0.35354122711787722</c:v>
                </c:pt>
                <c:pt idx="117">
                  <c:v>0.35315725513849033</c:v>
                </c:pt>
                <c:pt idx="118">
                  <c:v>0.35277390298382155</c:v>
                </c:pt>
                <c:pt idx="119">
                  <c:v>0.3523911693109435</c:v>
                </c:pt>
                <c:pt idx="120">
                  <c:v>0.3520090527805968</c:v>
                </c:pt>
                <c:pt idx="121">
                  <c:v>0.35162755205717866</c:v>
                </c:pt>
                <c:pt idx="122">
                  <c:v>0.35124666580873048</c:v>
                </c:pt>
                <c:pt idx="123">
                  <c:v>0.35086639270692654</c:v>
                </c:pt>
                <c:pt idx="124">
                  <c:v>0.35048673142706199</c:v>
                </c:pt>
                <c:pt idx="125">
                  <c:v>0.35010768064804126</c:v>
                </c:pt>
                <c:pt idx="126">
                  <c:v>0.34972923905236675</c:v>
                </c:pt>
                <c:pt idx="127">
                  <c:v>0.3493514053261263</c:v>
                </c:pt>
                <c:pt idx="128">
                  <c:v>0.34897417815898257</c:v>
                </c:pt>
                <c:pt idx="129">
                  <c:v>0.348597556244161</c:v>
                </c:pt>
                <c:pt idx="130">
                  <c:v>0.34822153827843827</c:v>
                </c:pt>
                <c:pt idx="131">
                  <c:v>0.34784612296213174</c:v>
                </c:pt>
                <c:pt idx="132">
                  <c:v>0.3474713089990864</c:v>
                </c:pt>
                <c:pt idx="133">
                  <c:v>0.34709709509666553</c:v>
                </c:pt>
                <c:pt idx="134">
                  <c:v>0.34672347996573749</c:v>
                </c:pt>
                <c:pt idx="135">
                  <c:v>0.34635046232066552</c:v>
                </c:pt>
                <c:pt idx="136">
                  <c:v>0.34597804087929684</c:v>
                </c:pt>
                <c:pt idx="137">
                  <c:v>0.34560621436295047</c:v>
                </c:pt>
                <c:pt idx="138">
                  <c:v>0.34523498149640652</c:v>
                </c:pt>
                <c:pt idx="139">
                  <c:v>0.34486434100789543</c:v>
                </c:pt>
                <c:pt idx="140">
                  <c:v>0.34449429162908646</c:v>
                </c:pt>
                <c:pt idx="141">
                  <c:v>0.34412483209507677</c:v>
                </c:pt>
                <c:pt idx="142">
                  <c:v>0.34375596114438078</c:v>
                </c:pt>
                <c:pt idx="143">
                  <c:v>0.34338767751891891</c:v>
                </c:pt>
                <c:pt idx="144">
                  <c:v>0.34301997996400629</c:v>
                </c:pt>
                <c:pt idx="145">
                  <c:v>0.34265286722834315</c:v>
                </c:pt>
                <c:pt idx="146">
                  <c:v>0.34228633806400277</c:v>
                </c:pt>
                <c:pt idx="147">
                  <c:v>0.34192039122642109</c:v>
                </c:pt>
                <c:pt idx="148">
                  <c:v>0.34155502547438649</c:v>
                </c:pt>
                <c:pt idx="149">
                  <c:v>0.34119023957002809</c:v>
                </c:pt>
                <c:pt idx="150">
                  <c:v>0.34082603227880659</c:v>
                </c:pt>
              </c:numCache>
            </c:numRef>
          </c:yVal>
          <c:smooth val="1"/>
          <c:extLst>
            <c:ext xmlns:c16="http://schemas.microsoft.com/office/drawing/2014/chart" uri="{C3380CC4-5D6E-409C-BE32-E72D297353CC}">
              <c16:uniqueId val="{00000003-A9EB-4B3D-B1F8-864F59D7502D}"/>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baseline="0"/>
                  <a:t>Input Voltage (V)</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Eff_vs_IOUT!$AW$7:$AW$157</c:f>
              <c:numCache>
                <c:formatCode>General</c:formatCode>
                <c:ptCount val="151"/>
                <c:pt idx="0">
                  <c:v>0</c:v>
                </c:pt>
                <c:pt idx="1">
                  <c:v>64.471922888900721</c:v>
                </c:pt>
                <c:pt idx="2">
                  <c:v>78.194325965986664</c:v>
                </c:pt>
                <c:pt idx="3">
                  <c:v>84.153971285988121</c:v>
                </c:pt>
                <c:pt idx="4">
                  <c:v>87.478459864241614</c:v>
                </c:pt>
                <c:pt idx="5">
                  <c:v>89.594326411584774</c:v>
                </c:pt>
                <c:pt idx="6">
                  <c:v>91.055841460611958</c:v>
                </c:pt>
                <c:pt idx="7">
                  <c:v>92.123301256118353</c:v>
                </c:pt>
                <c:pt idx="8">
                  <c:v>92.935108477856019</c:v>
                </c:pt>
                <c:pt idx="9">
                  <c:v>93.571646003915944</c:v>
                </c:pt>
                <c:pt idx="10">
                  <c:v>94.082795952666331</c:v>
                </c:pt>
                <c:pt idx="11">
                  <c:v>94.501152906708953</c:v>
                </c:pt>
                <c:pt idx="12">
                  <c:v>94.848915904970426</c:v>
                </c:pt>
                <c:pt idx="13">
                  <c:v>95.141726772148388</c:v>
                </c:pt>
                <c:pt idx="14">
                  <c:v>95.390924734494462</c:v>
                </c:pt>
                <c:pt idx="15">
                  <c:v>95.604930625893374</c:v>
                </c:pt>
                <c:pt idx="16">
                  <c:v>95.790129016847743</c:v>
                </c:pt>
                <c:pt idx="17">
                  <c:v>95.951448619160146</c:v>
                </c:pt>
                <c:pt idx="18">
                  <c:v>96.09275487516723</c:v>
                </c:pt>
                <c:pt idx="19">
                  <c:v>96.217122008395933</c:v>
                </c:pt>
                <c:pt idx="20">
                  <c:v>96.327025611490782</c:v>
                </c:pt>
                <c:pt idx="21">
                  <c:v>96.424481592850356</c:v>
                </c:pt>
                <c:pt idx="22">
                  <c:v>96.511148139461881</c:v>
                </c:pt>
                <c:pt idx="23">
                  <c:v>96.588401692845665</c:v>
                </c:pt>
                <c:pt idx="24">
                  <c:v>96.657394350302681</c:v>
                </c:pt>
                <c:pt idx="25">
                  <c:v>96.719097782066115</c:v>
                </c:pt>
                <c:pt idx="26">
                  <c:v>96.774337220589828</c:v>
                </c:pt>
                <c:pt idx="27">
                  <c:v>96.823818045235072</c:v>
                </c:pt>
                <c:pt idx="28">
                  <c:v>96.86814677836901</c:v>
                </c:pt>
                <c:pt idx="29">
                  <c:v>96.907847817106159</c:v>
                </c:pt>
                <c:pt idx="30">
                  <c:v>96.943376878059652</c:v>
                </c:pt>
                <c:pt idx="31">
                  <c:v>96.975131884577721</c:v>
                </c:pt>
                <c:pt idx="32">
                  <c:v>97.00346184660782</c:v>
                </c:pt>
                <c:pt idx="33">
                  <c:v>97.028674152117318</c:v>
                </c:pt>
                <c:pt idx="34">
                  <c:v>97.051040591973731</c:v>
                </c:pt>
                <c:pt idx="35">
                  <c:v>97.070802367731773</c:v>
                </c:pt>
                <c:pt idx="36">
                  <c:v>97.088174277163162</c:v>
                </c:pt>
                <c:pt idx="37">
                  <c:v>97.103348230846507</c:v>
                </c:pt>
                <c:pt idx="38">
                  <c:v>97.116496221310982</c:v>
                </c:pt>
                <c:pt idx="39">
                  <c:v>97.127772841646902</c:v>
                </c:pt>
                <c:pt idx="40">
                  <c:v>97.137317431373376</c:v>
                </c:pt>
                <c:pt idx="41">
                  <c:v>97.145255912371738</c:v>
                </c:pt>
                <c:pt idx="42">
                  <c:v>97.151702365882755</c:v>
                </c:pt>
                <c:pt idx="43">
                  <c:v>97.156760392195523</c:v>
                </c:pt>
                <c:pt idx="44">
                  <c:v>97.160524287179612</c:v>
                </c:pt>
                <c:pt idx="45">
                  <c:v>97.163080063812018</c:v>
                </c:pt>
                <c:pt idx="46">
                  <c:v>97.164506342012828</c:v>
                </c:pt>
                <c:pt idx="47">
                  <c:v>97.164875126178913</c:v>
                </c:pt>
                <c:pt idx="48">
                  <c:v>97.164252486610962</c:v>
                </c:pt>
                <c:pt idx="49">
                  <c:v>97.162699158412707</c:v>
                </c:pt>
                <c:pt idx="50">
                  <c:v>97.160271069292648</c:v>
                </c:pt>
                <c:pt idx="51">
                  <c:v>97.157019805924193</c:v>
                </c:pt>
                <c:pt idx="52">
                  <c:v>97.152993027049689</c:v>
                </c:pt>
                <c:pt idx="53">
                  <c:v>97.148234830291429</c:v>
                </c:pt>
                <c:pt idx="54">
                  <c:v>97.142786078610328</c:v>
                </c:pt>
                <c:pt idx="55">
                  <c:v>97.136684691498772</c:v>
                </c:pt>
                <c:pt idx="56">
                  <c:v>97.129965905272655</c:v>
                </c:pt>
                <c:pt idx="57">
                  <c:v>97.122662506222696</c:v>
                </c:pt>
                <c:pt idx="58">
                  <c:v>97.114805039869537</c:v>
                </c:pt>
                <c:pt idx="59">
                  <c:v>97.10642199913228</c:v>
                </c:pt>
                <c:pt idx="60">
                  <c:v>97.097539993848926</c:v>
                </c:pt>
                <c:pt idx="61">
                  <c:v>97.088183903768851</c:v>
                </c:pt>
                <c:pt idx="62">
                  <c:v>97.078377016868458</c:v>
                </c:pt>
                <c:pt idx="63">
                  <c:v>97.068141154605598</c:v>
                </c:pt>
                <c:pt idx="64">
                  <c:v>97.057496785530532</c:v>
                </c:pt>
                <c:pt idx="65">
                  <c:v>97.046463128495958</c:v>
                </c:pt>
                <c:pt idx="66">
                  <c:v>97.035058246560951</c:v>
                </c:pt>
                <c:pt idx="67">
                  <c:v>97.023299132552935</c:v>
                </c:pt>
                <c:pt idx="68">
                  <c:v>97.011201787139839</c:v>
                </c:pt>
                <c:pt idx="69">
                  <c:v>96.998781290166107</c:v>
                </c:pt>
                <c:pt idx="70">
                  <c:v>96.98605186592134</c:v>
                </c:pt>
                <c:pt idx="71">
                  <c:v>96.973026942934865</c:v>
                </c:pt>
                <c:pt idx="72">
                  <c:v>96.959719208824751</c:v>
                </c:pt>
                <c:pt idx="73">
                  <c:v>96.946140660671816</c:v>
                </c:pt>
                <c:pt idx="74">
                  <c:v>96.9323026513391</c:v>
                </c:pt>
                <c:pt idx="75">
                  <c:v>96.918215932112091</c:v>
                </c:pt>
                <c:pt idx="76">
                  <c:v>96.903890691996679</c:v>
                </c:pt>
                <c:pt idx="77">
                  <c:v>96.889336593976182</c:v>
                </c:pt>
                <c:pt idx="78">
                  <c:v>96.874562808498737</c:v>
                </c:pt>
                <c:pt idx="79">
                  <c:v>96.859578044438493</c:v>
                </c:pt>
                <c:pt idx="80">
                  <c:v>96.844390577750517</c:v>
                </c:pt>
                <c:pt idx="81">
                  <c:v>96.829008278017071</c:v>
                </c:pt>
                <c:pt idx="82">
                  <c:v>96.813438633064322</c:v>
                </c:pt>
                <c:pt idx="83">
                  <c:v>96.797688771810968</c:v>
                </c:pt>
                <c:pt idx="84">
                  <c:v>96.78176548549547</c:v>
                </c:pt>
                <c:pt idx="85">
                  <c:v>96.765675247414109</c:v>
                </c:pt>
                <c:pt idx="86">
                  <c:v>96.749424231290789</c:v>
                </c:pt>
                <c:pt idx="87">
                  <c:v>96.733018328387772</c:v>
                </c:pt>
                <c:pt idx="88">
                  <c:v>96.716463163456893</c:v>
                </c:pt>
                <c:pt idx="89">
                  <c:v>96.699764109621739</c:v>
                </c:pt>
                <c:pt idx="90">
                  <c:v>96.682926302274012</c:v>
                </c:pt>
                <c:pt idx="91">
                  <c:v>96.665954652058701</c:v>
                </c:pt>
                <c:pt idx="92">
                  <c:v>96.648853857017471</c:v>
                </c:pt>
                <c:pt idx="93">
                  <c:v>96.631628413953251</c:v>
                </c:pt>
                <c:pt idx="94">
                  <c:v>96.614282629073472</c:v>
                </c:pt>
                <c:pt idx="95">
                  <c:v>96.596820627964874</c:v>
                </c:pt>
                <c:pt idx="96">
                  <c:v>96.579246364948503</c:v>
                </c:pt>
                <c:pt idx="97">
                  <c:v>96.561563631859158</c:v>
                </c:pt>
                <c:pt idx="98">
                  <c:v>96.543776066290377</c:v>
                </c:pt>
                <c:pt idx="99">
                  <c:v>96.525887159342318</c:v>
                </c:pt>
                <c:pt idx="100">
                  <c:v>96.50790026290737</c:v>
                </c:pt>
                <c:pt idx="101">
                  <c:v>96.489818596525296</c:v>
                </c:pt>
                <c:pt idx="102">
                  <c:v>96.471645253837082</c:v>
                </c:pt>
                <c:pt idx="103">
                  <c:v>96.453383208665016</c:v>
                </c:pt>
                <c:pt idx="104">
                  <c:v>96.435035320743694</c:v>
                </c:pt>
                <c:pt idx="105">
                  <c:v>96.416604341125193</c:v>
                </c:pt>
                <c:pt idx="106">
                  <c:v>96.398092917279953</c:v>
                </c:pt>
                <c:pt idx="107">
                  <c:v>96.379503597912986</c:v>
                </c:pt>
                <c:pt idx="108">
                  <c:v>96.360838837513867</c:v>
                </c:pt>
                <c:pt idx="109">
                  <c:v>96.342101000657564</c:v>
                </c:pt>
                <c:pt idx="110">
                  <c:v>96.323292366071684</c:v>
                </c:pt>
                <c:pt idx="111">
                  <c:v>96.304415130485097</c:v>
                </c:pt>
                <c:pt idx="112">
                  <c:v>96.285471412271335</c:v>
                </c:pt>
                <c:pt idx="113">
                  <c:v>96.266463254899278</c:v>
                </c:pt>
                <c:pt idx="114">
                  <c:v>96.247392630203478</c:v>
                </c:pt>
                <c:pt idx="115">
                  <c:v>96.228261441484193</c:v>
                </c:pt>
                <c:pt idx="116">
                  <c:v>96.209071526448156</c:v>
                </c:pt>
                <c:pt idx="117">
                  <c:v>96.189824659999061</c:v>
                </c:pt>
                <c:pt idx="118">
                  <c:v>96.170522556886965</c:v>
                </c:pt>
                <c:pt idx="119">
                  <c:v>96.15116687422443</c:v>
                </c:pt>
                <c:pt idx="120">
                  <c:v>96.131759213877771</c:v>
                </c:pt>
                <c:pt idx="121">
                  <c:v>96.112301124740043</c:v>
                </c:pt>
                <c:pt idx="122">
                  <c:v>96.092794104892661</c:v>
                </c:pt>
                <c:pt idx="123">
                  <c:v>96.073239603662373</c:v>
                </c:pt>
                <c:pt idx="124">
                  <c:v>96.053639023578711</c:v>
                </c:pt>
                <c:pt idx="125">
                  <c:v>96.033993722238236</c:v>
                </c:pt>
                <c:pt idx="126">
                  <c:v>96.014305014080179</c:v>
                </c:pt>
                <c:pt idx="127">
                  <c:v>95.994574172078657</c:v>
                </c:pt>
                <c:pt idx="128">
                  <c:v>95.974802429355833</c:v>
                </c:pt>
                <c:pt idx="129">
                  <c:v>95.954990980720424</c:v>
                </c:pt>
                <c:pt idx="130">
                  <c:v>95.93514098413543</c:v>
                </c:pt>
                <c:pt idx="131">
                  <c:v>95.915253562118991</c:v>
                </c:pt>
                <c:pt idx="132">
                  <c:v>95.895329803081651</c:v>
                </c:pt>
                <c:pt idx="133">
                  <c:v>95.875370762603907</c:v>
                </c:pt>
                <c:pt idx="134">
                  <c:v>95.855377464656314</c:v>
                </c:pt>
                <c:pt idx="135">
                  <c:v>95.835350902765938</c:v>
                </c:pt>
                <c:pt idx="136">
                  <c:v>95.815292041131414</c:v>
                </c:pt>
                <c:pt idx="137">
                  <c:v>95.795201815689339</c:v>
                </c:pt>
                <c:pt idx="138">
                  <c:v>95.775081135134556</c:v>
                </c:pt>
                <c:pt idx="139">
                  <c:v>95.754930881896499</c:v>
                </c:pt>
                <c:pt idx="140">
                  <c:v>95.734751913073922</c:v>
                </c:pt>
                <c:pt idx="141">
                  <c:v>95.714545061329929</c:v>
                </c:pt>
                <c:pt idx="142">
                  <c:v>95.694311135749331</c:v>
                </c:pt>
                <c:pt idx="143">
                  <c:v>95.674050922660342</c:v>
                </c:pt>
                <c:pt idx="144">
                  <c:v>95.65376518642185</c:v>
                </c:pt>
                <c:pt idx="145">
                  <c:v>95.633454670178565</c:v>
                </c:pt>
                <c:pt idx="146">
                  <c:v>95.613120096584936</c:v>
                </c:pt>
                <c:pt idx="147">
                  <c:v>95.592762168499945</c:v>
                </c:pt>
                <c:pt idx="148">
                  <c:v>95.57238156965353</c:v>
                </c:pt>
                <c:pt idx="149">
                  <c:v>95.551978965286509</c:v>
                </c:pt>
                <c:pt idx="150">
                  <c:v>95.531555002764861</c:v>
                </c:pt>
              </c:numCache>
            </c:numRef>
          </c:yVal>
          <c:smooth val="0"/>
          <c:extLst>
            <c:ext xmlns:c16="http://schemas.microsoft.com/office/drawing/2014/chart" uri="{C3380CC4-5D6E-409C-BE32-E72D297353CC}">
              <c16:uniqueId val="{00000000-6DF5-4D18-8D30-EE142E0FBE5F}"/>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Eff_vs_IOUT!$AI$7:$AI$157</c:f>
              <c:numCache>
                <c:formatCode>General</c:formatCode>
                <c:ptCount val="151"/>
                <c:pt idx="0">
                  <c:v>1.4222222222222227E-3</c:v>
                </c:pt>
                <c:pt idx="1">
                  <c:v>4.2927998726456848E-3</c:v>
                </c:pt>
                <c:pt idx="2">
                  <c:v>7.1967108564024804E-3</c:v>
                </c:pt>
                <c:pt idx="3">
                  <c:v>1.0133955173492609E-2</c:v>
                </c:pt>
                <c:pt idx="4">
                  <c:v>1.3104532823916071E-2</c:v>
                </c:pt>
                <c:pt idx="5">
                  <c:v>1.610844380767287E-2</c:v>
                </c:pt>
                <c:pt idx="6">
                  <c:v>1.9145688124762993E-2</c:v>
                </c:pt>
                <c:pt idx="7">
                  <c:v>2.2216265775186466E-2</c:v>
                </c:pt>
                <c:pt idx="8">
                  <c:v>2.5320176758943255E-2</c:v>
                </c:pt>
                <c:pt idx="9">
                  <c:v>2.8457421076033388E-2</c:v>
                </c:pt>
                <c:pt idx="10">
                  <c:v>3.162799872645685E-2</c:v>
                </c:pt>
                <c:pt idx="11">
                  <c:v>3.4831909710213646E-2</c:v>
                </c:pt>
                <c:pt idx="12">
                  <c:v>3.8069154027303771E-2</c:v>
                </c:pt>
                <c:pt idx="13">
                  <c:v>4.133973167772724E-2</c:v>
                </c:pt>
                <c:pt idx="14">
                  <c:v>4.4643642661484038E-2</c:v>
                </c:pt>
                <c:pt idx="15">
                  <c:v>4.7980886978574167E-2</c:v>
                </c:pt>
                <c:pt idx="16">
                  <c:v>5.1351464628997617E-2</c:v>
                </c:pt>
                <c:pt idx="17">
                  <c:v>5.4755375612754419E-2</c:v>
                </c:pt>
                <c:pt idx="18">
                  <c:v>5.819261992984455E-2</c:v>
                </c:pt>
                <c:pt idx="19">
                  <c:v>6.1663197580268003E-2</c:v>
                </c:pt>
                <c:pt idx="20">
                  <c:v>6.5167108564024814E-2</c:v>
                </c:pt>
                <c:pt idx="21">
                  <c:v>6.8704352881114955E-2</c:v>
                </c:pt>
                <c:pt idx="22">
                  <c:v>7.2274930531538398E-2</c:v>
                </c:pt>
                <c:pt idx="23">
                  <c:v>7.5878841515295198E-2</c:v>
                </c:pt>
                <c:pt idx="24">
                  <c:v>7.9516085832385314E-2</c:v>
                </c:pt>
                <c:pt idx="25">
                  <c:v>8.3186663482808787E-2</c:v>
                </c:pt>
                <c:pt idx="26">
                  <c:v>8.689057446656559E-2</c:v>
                </c:pt>
                <c:pt idx="27">
                  <c:v>9.0627818783655695E-2</c:v>
                </c:pt>
                <c:pt idx="28">
                  <c:v>9.4398396434079199E-2</c:v>
                </c:pt>
                <c:pt idx="29">
                  <c:v>9.8202307417835963E-2</c:v>
                </c:pt>
                <c:pt idx="30">
                  <c:v>0.1020395517349261</c:v>
                </c:pt>
                <c:pt idx="31">
                  <c:v>0.10591012938534955</c:v>
                </c:pt>
                <c:pt idx="32">
                  <c:v>0.10981404036910636</c:v>
                </c:pt>
                <c:pt idx="33">
                  <c:v>0.11375128468619651</c:v>
                </c:pt>
                <c:pt idx="34">
                  <c:v>0.11772186233661995</c:v>
                </c:pt>
                <c:pt idx="35">
                  <c:v>0.12172577332037675</c:v>
                </c:pt>
                <c:pt idx="36">
                  <c:v>0.12576301763746689</c:v>
                </c:pt>
                <c:pt idx="37">
                  <c:v>0.12983359528789037</c:v>
                </c:pt>
                <c:pt idx="38">
                  <c:v>0.13393750627164711</c:v>
                </c:pt>
                <c:pt idx="39">
                  <c:v>0.13807475058873725</c:v>
                </c:pt>
                <c:pt idx="40">
                  <c:v>0.14224532823916072</c:v>
                </c:pt>
                <c:pt idx="41">
                  <c:v>0.14644923922291755</c:v>
                </c:pt>
                <c:pt idx="42">
                  <c:v>0.15068648354000769</c:v>
                </c:pt>
                <c:pt idx="43">
                  <c:v>0.15495706119043109</c:v>
                </c:pt>
                <c:pt idx="44">
                  <c:v>0.15926097217418789</c:v>
                </c:pt>
                <c:pt idx="45">
                  <c:v>0.16359821649127804</c:v>
                </c:pt>
                <c:pt idx="46">
                  <c:v>0.16796879414170149</c:v>
                </c:pt>
                <c:pt idx="47">
                  <c:v>0.17237270512545833</c:v>
                </c:pt>
                <c:pt idx="48">
                  <c:v>0.17680994944254841</c:v>
                </c:pt>
                <c:pt idx="49">
                  <c:v>0.18128052709297188</c:v>
                </c:pt>
                <c:pt idx="50">
                  <c:v>0.18578443807672868</c:v>
                </c:pt>
                <c:pt idx="51">
                  <c:v>0.1903216823938188</c:v>
                </c:pt>
                <c:pt idx="52">
                  <c:v>0.19489226004424232</c:v>
                </c:pt>
                <c:pt idx="53">
                  <c:v>0.19949617102799908</c:v>
                </c:pt>
                <c:pt idx="54">
                  <c:v>0.20413341534508916</c:v>
                </c:pt>
                <c:pt idx="55">
                  <c:v>0.20880399299551267</c:v>
                </c:pt>
                <c:pt idx="56">
                  <c:v>0.21350790397926953</c:v>
                </c:pt>
                <c:pt idx="57">
                  <c:v>0.21824514829635955</c:v>
                </c:pt>
                <c:pt idx="58">
                  <c:v>0.22301572594678304</c:v>
                </c:pt>
                <c:pt idx="59">
                  <c:v>0.22781963693053983</c:v>
                </c:pt>
                <c:pt idx="60">
                  <c:v>0.23265688124763001</c:v>
                </c:pt>
                <c:pt idx="61">
                  <c:v>0.23752745889805343</c:v>
                </c:pt>
                <c:pt idx="62">
                  <c:v>0.24243136988181022</c:v>
                </c:pt>
                <c:pt idx="63">
                  <c:v>0.24736861419890038</c:v>
                </c:pt>
                <c:pt idx="64">
                  <c:v>0.2523391918493238</c:v>
                </c:pt>
                <c:pt idx="65">
                  <c:v>0.25734310283308065</c:v>
                </c:pt>
                <c:pt idx="66">
                  <c:v>0.26238034715017083</c:v>
                </c:pt>
                <c:pt idx="67">
                  <c:v>0.26745092480059424</c:v>
                </c:pt>
                <c:pt idx="68">
                  <c:v>0.27255483578435097</c:v>
                </c:pt>
                <c:pt idx="69">
                  <c:v>0.27769208010144109</c:v>
                </c:pt>
                <c:pt idx="70">
                  <c:v>0.28286265775186459</c:v>
                </c:pt>
                <c:pt idx="71">
                  <c:v>0.28806656873562148</c:v>
                </c:pt>
                <c:pt idx="72">
                  <c:v>0.29330381305271153</c:v>
                </c:pt>
                <c:pt idx="73">
                  <c:v>0.29857439070313496</c:v>
                </c:pt>
                <c:pt idx="74">
                  <c:v>0.30387830168689184</c:v>
                </c:pt>
                <c:pt idx="75">
                  <c:v>0.30921554600398188</c:v>
                </c:pt>
                <c:pt idx="76">
                  <c:v>0.3145861236544053</c:v>
                </c:pt>
                <c:pt idx="77">
                  <c:v>0.31999003463816217</c:v>
                </c:pt>
                <c:pt idx="78">
                  <c:v>0.32542727895525236</c:v>
                </c:pt>
                <c:pt idx="79">
                  <c:v>0.33089785660567578</c:v>
                </c:pt>
                <c:pt idx="80">
                  <c:v>0.33640176758943258</c:v>
                </c:pt>
                <c:pt idx="81">
                  <c:v>0.34193901190652265</c:v>
                </c:pt>
                <c:pt idx="82">
                  <c:v>0.34750958955694622</c:v>
                </c:pt>
                <c:pt idx="83">
                  <c:v>0.3531135005407029</c:v>
                </c:pt>
                <c:pt idx="84">
                  <c:v>0.35875074485779312</c:v>
                </c:pt>
                <c:pt idx="85">
                  <c:v>0.36442132250821657</c:v>
                </c:pt>
                <c:pt idx="86">
                  <c:v>0.37012523349197329</c:v>
                </c:pt>
                <c:pt idx="87">
                  <c:v>0.37586247780906346</c:v>
                </c:pt>
                <c:pt idx="88">
                  <c:v>0.38163305545948689</c:v>
                </c:pt>
                <c:pt idx="89">
                  <c:v>0.38743696644324377</c:v>
                </c:pt>
                <c:pt idx="90">
                  <c:v>0.39327421076033392</c:v>
                </c:pt>
                <c:pt idx="91">
                  <c:v>0.39914478841075723</c:v>
                </c:pt>
                <c:pt idx="92">
                  <c:v>0.40504869939451404</c:v>
                </c:pt>
                <c:pt idx="93">
                  <c:v>0.41098594371160424</c:v>
                </c:pt>
                <c:pt idx="94">
                  <c:v>0.41695652136202777</c:v>
                </c:pt>
                <c:pt idx="95">
                  <c:v>0.42296043234578451</c:v>
                </c:pt>
                <c:pt idx="96">
                  <c:v>0.42899767666287458</c:v>
                </c:pt>
                <c:pt idx="97">
                  <c:v>0.43506825431329826</c:v>
                </c:pt>
                <c:pt idx="98">
                  <c:v>0.44117216529705483</c:v>
                </c:pt>
                <c:pt idx="99">
                  <c:v>0.44730940961414506</c:v>
                </c:pt>
                <c:pt idx="100">
                  <c:v>0.45347998726456851</c:v>
                </c:pt>
                <c:pt idx="101">
                  <c:v>0.45968389824832523</c:v>
                </c:pt>
                <c:pt idx="102">
                  <c:v>0.46592114256541539</c:v>
                </c:pt>
                <c:pt idx="103">
                  <c:v>0.47219172021583877</c:v>
                </c:pt>
                <c:pt idx="104">
                  <c:v>0.47849563119959571</c:v>
                </c:pt>
                <c:pt idx="105">
                  <c:v>0.4848328755166858</c:v>
                </c:pt>
                <c:pt idx="106">
                  <c:v>0.49120345316710923</c:v>
                </c:pt>
                <c:pt idx="107">
                  <c:v>0.49760736415086598</c:v>
                </c:pt>
                <c:pt idx="108">
                  <c:v>0.50404460846795607</c:v>
                </c:pt>
                <c:pt idx="109">
                  <c:v>0.51051518611837965</c:v>
                </c:pt>
                <c:pt idx="110">
                  <c:v>0.51701909710213645</c:v>
                </c:pt>
                <c:pt idx="111">
                  <c:v>0.52355634141922658</c:v>
                </c:pt>
                <c:pt idx="112">
                  <c:v>0.53012691906965015</c:v>
                </c:pt>
                <c:pt idx="113">
                  <c:v>0.53673083005340683</c:v>
                </c:pt>
                <c:pt idx="114">
                  <c:v>0.54336807437049683</c:v>
                </c:pt>
                <c:pt idx="115">
                  <c:v>0.55003865202092039</c:v>
                </c:pt>
                <c:pt idx="116">
                  <c:v>0.55674256300467717</c:v>
                </c:pt>
                <c:pt idx="117">
                  <c:v>0.56347980732176739</c:v>
                </c:pt>
                <c:pt idx="118">
                  <c:v>0.57025038497219072</c:v>
                </c:pt>
                <c:pt idx="119">
                  <c:v>0.5770542959559477</c:v>
                </c:pt>
                <c:pt idx="120">
                  <c:v>0.5838915402730378</c:v>
                </c:pt>
                <c:pt idx="121">
                  <c:v>0.59076211792346112</c:v>
                </c:pt>
                <c:pt idx="122">
                  <c:v>0.59766602890721787</c:v>
                </c:pt>
                <c:pt idx="123">
                  <c:v>0.60460327322430807</c:v>
                </c:pt>
                <c:pt idx="124">
                  <c:v>0.61157385087473159</c:v>
                </c:pt>
                <c:pt idx="125">
                  <c:v>0.61857776185848845</c:v>
                </c:pt>
                <c:pt idx="126">
                  <c:v>0.62561500617557864</c:v>
                </c:pt>
                <c:pt idx="127">
                  <c:v>0.63268558382600215</c:v>
                </c:pt>
                <c:pt idx="128">
                  <c:v>0.63978949480975866</c:v>
                </c:pt>
                <c:pt idx="129">
                  <c:v>0.64692673912684895</c:v>
                </c:pt>
                <c:pt idx="130">
                  <c:v>0.65409731677727234</c:v>
                </c:pt>
                <c:pt idx="131">
                  <c:v>0.66130122776102906</c:v>
                </c:pt>
                <c:pt idx="132">
                  <c:v>0.66853847207811945</c:v>
                </c:pt>
                <c:pt idx="133">
                  <c:v>0.67580904972854294</c:v>
                </c:pt>
                <c:pt idx="134">
                  <c:v>0.68311296071229965</c:v>
                </c:pt>
                <c:pt idx="135">
                  <c:v>0.6904502050293897</c:v>
                </c:pt>
                <c:pt idx="136">
                  <c:v>0.69782078267981307</c:v>
                </c:pt>
                <c:pt idx="137">
                  <c:v>0.70522469366356977</c:v>
                </c:pt>
                <c:pt idx="138">
                  <c:v>0.71266193798066002</c:v>
                </c:pt>
                <c:pt idx="139">
                  <c:v>0.72013251563108349</c:v>
                </c:pt>
                <c:pt idx="140">
                  <c:v>0.72763642661484029</c:v>
                </c:pt>
                <c:pt idx="141">
                  <c:v>0.73517367093193053</c:v>
                </c:pt>
                <c:pt idx="142">
                  <c:v>0.74274424858235411</c:v>
                </c:pt>
                <c:pt idx="143">
                  <c:v>0.75034815956611056</c:v>
                </c:pt>
                <c:pt idx="144">
                  <c:v>0.75798540388320101</c:v>
                </c:pt>
                <c:pt idx="145">
                  <c:v>0.76565598153362435</c:v>
                </c:pt>
                <c:pt idx="146">
                  <c:v>0.77335989251738113</c:v>
                </c:pt>
                <c:pt idx="147">
                  <c:v>0.78109713683447135</c:v>
                </c:pt>
                <c:pt idx="148">
                  <c:v>0.78886771448489501</c:v>
                </c:pt>
                <c:pt idx="149">
                  <c:v>0.79667162546865156</c:v>
                </c:pt>
                <c:pt idx="150">
                  <c:v>0.80450886978574165</c:v>
                </c:pt>
              </c:numCache>
            </c:numRef>
          </c:yVal>
          <c:smooth val="1"/>
          <c:extLst>
            <c:ext xmlns:c16="http://schemas.microsoft.com/office/drawing/2014/chart" uri="{C3380CC4-5D6E-409C-BE32-E72D297353CC}">
              <c16:uniqueId val="{00000001-6DF5-4D18-8D30-EE142E0FBE5F}"/>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Eff_vs_IOUT!$AO$7:$AO$157</c:f>
              <c:numCache>
                <c:formatCode>General</c:formatCode>
                <c:ptCount val="151"/>
                <c:pt idx="0">
                  <c:v>0.16831944444444447</c:v>
                </c:pt>
                <c:pt idx="1">
                  <c:v>0.1690527777777778</c:v>
                </c:pt>
                <c:pt idx="2">
                  <c:v>0.1698527777777778</c:v>
                </c:pt>
                <c:pt idx="3">
                  <c:v>0.17071944444444448</c:v>
                </c:pt>
                <c:pt idx="4">
                  <c:v>0.17165277777777782</c:v>
                </c:pt>
                <c:pt idx="5">
                  <c:v>0.17265277777777779</c:v>
                </c:pt>
                <c:pt idx="6">
                  <c:v>0.17371944444444445</c:v>
                </c:pt>
                <c:pt idx="7">
                  <c:v>0.1748527777777778</c:v>
                </c:pt>
                <c:pt idx="8">
                  <c:v>0.17605277777777781</c:v>
                </c:pt>
                <c:pt idx="9">
                  <c:v>0.17731944444444447</c:v>
                </c:pt>
                <c:pt idx="10">
                  <c:v>0.1786527777777778</c:v>
                </c:pt>
                <c:pt idx="11">
                  <c:v>0.18005277777777781</c:v>
                </c:pt>
                <c:pt idx="12">
                  <c:v>0.18151944444444448</c:v>
                </c:pt>
                <c:pt idx="13">
                  <c:v>0.18305277777777781</c:v>
                </c:pt>
                <c:pt idx="14">
                  <c:v>0.1846527777777778</c:v>
                </c:pt>
                <c:pt idx="15">
                  <c:v>0.18631944444444445</c:v>
                </c:pt>
                <c:pt idx="16">
                  <c:v>0.18805277777777782</c:v>
                </c:pt>
                <c:pt idx="17">
                  <c:v>0.18985277777777781</c:v>
                </c:pt>
                <c:pt idx="18">
                  <c:v>0.19171944444444444</c:v>
                </c:pt>
                <c:pt idx="19">
                  <c:v>0.19365277777777778</c:v>
                </c:pt>
                <c:pt idx="20">
                  <c:v>0.19565277777777779</c:v>
                </c:pt>
                <c:pt idx="21">
                  <c:v>0.19771944444444448</c:v>
                </c:pt>
                <c:pt idx="22">
                  <c:v>0.19985277777777782</c:v>
                </c:pt>
                <c:pt idx="23">
                  <c:v>0.2020527777777778</c:v>
                </c:pt>
                <c:pt idx="24">
                  <c:v>0.20431944444444447</c:v>
                </c:pt>
                <c:pt idx="25">
                  <c:v>0.2066527777777778</c:v>
                </c:pt>
                <c:pt idx="26">
                  <c:v>0.20905277777777781</c:v>
                </c:pt>
                <c:pt idx="27">
                  <c:v>0.21151944444444445</c:v>
                </c:pt>
                <c:pt idx="28">
                  <c:v>0.21405277777777779</c:v>
                </c:pt>
                <c:pt idx="29">
                  <c:v>0.21665277777777781</c:v>
                </c:pt>
                <c:pt idx="30">
                  <c:v>0.21931944444444446</c:v>
                </c:pt>
                <c:pt idx="31">
                  <c:v>0.22205277777777777</c:v>
                </c:pt>
                <c:pt idx="32">
                  <c:v>0.22485277777777779</c:v>
                </c:pt>
                <c:pt idx="33">
                  <c:v>0.22771944444444447</c:v>
                </c:pt>
                <c:pt idx="34">
                  <c:v>0.23065277777777779</c:v>
                </c:pt>
                <c:pt idx="35">
                  <c:v>0.23365277777777776</c:v>
                </c:pt>
                <c:pt idx="36">
                  <c:v>0.23671944444444445</c:v>
                </c:pt>
                <c:pt idx="37">
                  <c:v>0.2398527777777778</c:v>
                </c:pt>
                <c:pt idx="38">
                  <c:v>0.24305277777777778</c:v>
                </c:pt>
                <c:pt idx="39">
                  <c:v>0.24631944444444448</c:v>
                </c:pt>
                <c:pt idx="40">
                  <c:v>0.24965277777777778</c:v>
                </c:pt>
                <c:pt idx="41">
                  <c:v>0.25305277777777779</c:v>
                </c:pt>
                <c:pt idx="42">
                  <c:v>0.25651944444444452</c:v>
                </c:pt>
                <c:pt idx="43">
                  <c:v>0.2600527777777778</c:v>
                </c:pt>
                <c:pt idx="44">
                  <c:v>0.26365277777777779</c:v>
                </c:pt>
                <c:pt idx="45">
                  <c:v>0.26731944444444444</c:v>
                </c:pt>
                <c:pt idx="46">
                  <c:v>0.27105277777777775</c:v>
                </c:pt>
                <c:pt idx="47">
                  <c:v>0.27485277777777783</c:v>
                </c:pt>
                <c:pt idx="48">
                  <c:v>0.27871944444444452</c:v>
                </c:pt>
                <c:pt idx="49">
                  <c:v>0.28265277777777781</c:v>
                </c:pt>
                <c:pt idx="50">
                  <c:v>0.28665277777777781</c:v>
                </c:pt>
                <c:pt idx="51">
                  <c:v>0.29071944444444442</c:v>
                </c:pt>
                <c:pt idx="52">
                  <c:v>0.29485277777777785</c:v>
                </c:pt>
                <c:pt idx="53">
                  <c:v>0.29905277777777783</c:v>
                </c:pt>
                <c:pt idx="54">
                  <c:v>0.30331944444444447</c:v>
                </c:pt>
                <c:pt idx="55">
                  <c:v>0.30765277777777783</c:v>
                </c:pt>
                <c:pt idx="56">
                  <c:v>0.31205277777777785</c:v>
                </c:pt>
                <c:pt idx="57">
                  <c:v>0.31651944444444441</c:v>
                </c:pt>
                <c:pt idx="58">
                  <c:v>0.3210527777777778</c:v>
                </c:pt>
                <c:pt idx="59">
                  <c:v>0.32565277777777779</c:v>
                </c:pt>
                <c:pt idx="60">
                  <c:v>0.3303194444444445</c:v>
                </c:pt>
                <c:pt idx="61">
                  <c:v>0.33505277777777775</c:v>
                </c:pt>
                <c:pt idx="62">
                  <c:v>0.33985277777777773</c:v>
                </c:pt>
                <c:pt idx="63">
                  <c:v>0.34471944444444447</c:v>
                </c:pt>
                <c:pt idx="64">
                  <c:v>0.34965277777777776</c:v>
                </c:pt>
                <c:pt idx="65">
                  <c:v>0.35465277777777782</c:v>
                </c:pt>
                <c:pt idx="66">
                  <c:v>0.35971944444444459</c:v>
                </c:pt>
                <c:pt idx="67">
                  <c:v>0.36485277777777786</c:v>
                </c:pt>
                <c:pt idx="68">
                  <c:v>0.37005277777777779</c:v>
                </c:pt>
                <c:pt idx="69">
                  <c:v>0.37531944444444443</c:v>
                </c:pt>
                <c:pt idx="70">
                  <c:v>0.38065277777777778</c:v>
                </c:pt>
                <c:pt idx="71">
                  <c:v>0.38605277777777786</c:v>
                </c:pt>
                <c:pt idx="72">
                  <c:v>0.39151944444444442</c:v>
                </c:pt>
                <c:pt idx="73">
                  <c:v>0.39705277777777781</c:v>
                </c:pt>
                <c:pt idx="74">
                  <c:v>0.4026527777777778</c:v>
                </c:pt>
                <c:pt idx="75">
                  <c:v>0.4083194444444444</c:v>
                </c:pt>
                <c:pt idx="76">
                  <c:v>0.41405277777777771</c:v>
                </c:pt>
                <c:pt idx="77">
                  <c:v>0.41985277777777769</c:v>
                </c:pt>
                <c:pt idx="78">
                  <c:v>0.42571944444444443</c:v>
                </c:pt>
                <c:pt idx="79">
                  <c:v>0.43165277777777777</c:v>
                </c:pt>
                <c:pt idx="80">
                  <c:v>0.43765277777777772</c:v>
                </c:pt>
                <c:pt idx="81">
                  <c:v>0.4437194444444445</c:v>
                </c:pt>
                <c:pt idx="82">
                  <c:v>0.44985277777777777</c:v>
                </c:pt>
                <c:pt idx="83">
                  <c:v>0.45605277777777781</c:v>
                </c:pt>
                <c:pt idx="84">
                  <c:v>0.46231944444444445</c:v>
                </c:pt>
                <c:pt idx="85">
                  <c:v>0.46865277777777775</c:v>
                </c:pt>
                <c:pt idx="86">
                  <c:v>0.47505277777777777</c:v>
                </c:pt>
                <c:pt idx="87">
                  <c:v>0.48151944444444433</c:v>
                </c:pt>
                <c:pt idx="88">
                  <c:v>0.48805277777777767</c:v>
                </c:pt>
                <c:pt idx="89">
                  <c:v>0.49465277777777783</c:v>
                </c:pt>
                <c:pt idx="90">
                  <c:v>0.50131944444444454</c:v>
                </c:pt>
                <c:pt idx="91">
                  <c:v>0.50805277777777758</c:v>
                </c:pt>
                <c:pt idx="92">
                  <c:v>0.51485277777777771</c:v>
                </c:pt>
                <c:pt idx="93">
                  <c:v>0.52171944444444451</c:v>
                </c:pt>
                <c:pt idx="94">
                  <c:v>0.52865277777777775</c:v>
                </c:pt>
                <c:pt idx="95">
                  <c:v>0.53565277777777776</c:v>
                </c:pt>
                <c:pt idx="96">
                  <c:v>0.54271944444444442</c:v>
                </c:pt>
                <c:pt idx="97">
                  <c:v>0.54985277777777797</c:v>
                </c:pt>
                <c:pt idx="98">
                  <c:v>0.55705277777777773</c:v>
                </c:pt>
                <c:pt idx="99">
                  <c:v>0.56431944444444448</c:v>
                </c:pt>
                <c:pt idx="100">
                  <c:v>0.57165277777777779</c:v>
                </c:pt>
                <c:pt idx="101">
                  <c:v>0.57905277777777775</c:v>
                </c:pt>
                <c:pt idx="102">
                  <c:v>0.58651944444444437</c:v>
                </c:pt>
                <c:pt idx="103">
                  <c:v>0.59405277777777776</c:v>
                </c:pt>
                <c:pt idx="104">
                  <c:v>0.6016527777777777</c:v>
                </c:pt>
                <c:pt idx="105">
                  <c:v>0.60931944444444441</c:v>
                </c:pt>
                <c:pt idx="106">
                  <c:v>0.61705277777777778</c:v>
                </c:pt>
                <c:pt idx="107">
                  <c:v>0.62485277777777748</c:v>
                </c:pt>
                <c:pt idx="108">
                  <c:v>0.63271944444444428</c:v>
                </c:pt>
                <c:pt idx="109">
                  <c:v>0.64065277777777774</c:v>
                </c:pt>
                <c:pt idx="110">
                  <c:v>0.64865277777777774</c:v>
                </c:pt>
                <c:pt idx="111">
                  <c:v>0.65671944444444452</c:v>
                </c:pt>
                <c:pt idx="112">
                  <c:v>0.66485277777777785</c:v>
                </c:pt>
                <c:pt idx="113">
                  <c:v>0.67305277777777772</c:v>
                </c:pt>
                <c:pt idx="114">
                  <c:v>0.68131944444444414</c:v>
                </c:pt>
                <c:pt idx="115">
                  <c:v>0.68965277777777767</c:v>
                </c:pt>
                <c:pt idx="116">
                  <c:v>0.69805277777777774</c:v>
                </c:pt>
                <c:pt idx="117">
                  <c:v>0.70651944444444437</c:v>
                </c:pt>
                <c:pt idx="118">
                  <c:v>0.71505277777777765</c:v>
                </c:pt>
                <c:pt idx="119">
                  <c:v>0.72365277777777781</c:v>
                </c:pt>
                <c:pt idx="120">
                  <c:v>0.7323194444444443</c:v>
                </c:pt>
                <c:pt idx="121">
                  <c:v>0.74105277777777767</c:v>
                </c:pt>
                <c:pt idx="122">
                  <c:v>0.74985277777777748</c:v>
                </c:pt>
                <c:pt idx="123">
                  <c:v>0.75871944444444428</c:v>
                </c:pt>
                <c:pt idx="124">
                  <c:v>0.76765277777777763</c:v>
                </c:pt>
                <c:pt idx="125">
                  <c:v>0.77665277777777786</c:v>
                </c:pt>
                <c:pt idx="126">
                  <c:v>0.78571944444444464</c:v>
                </c:pt>
                <c:pt idx="127">
                  <c:v>0.79485277777777763</c:v>
                </c:pt>
                <c:pt idx="128">
                  <c:v>0.80405277777777773</c:v>
                </c:pt>
                <c:pt idx="129">
                  <c:v>0.81331944444444415</c:v>
                </c:pt>
                <c:pt idx="130">
                  <c:v>0.82265277777777779</c:v>
                </c:pt>
                <c:pt idx="131">
                  <c:v>0.83205277777777775</c:v>
                </c:pt>
                <c:pt idx="132">
                  <c:v>0.8415194444444446</c:v>
                </c:pt>
                <c:pt idx="133">
                  <c:v>0.85105277777777799</c:v>
                </c:pt>
                <c:pt idx="134">
                  <c:v>0.86065277777777771</c:v>
                </c:pt>
                <c:pt idx="135">
                  <c:v>0.87031944444444442</c:v>
                </c:pt>
                <c:pt idx="136">
                  <c:v>0.88005277777777779</c:v>
                </c:pt>
                <c:pt idx="137">
                  <c:v>0.88985277777777738</c:v>
                </c:pt>
                <c:pt idx="138">
                  <c:v>0.89971944444444441</c:v>
                </c:pt>
                <c:pt idx="139">
                  <c:v>0.90965277777777764</c:v>
                </c:pt>
                <c:pt idx="140">
                  <c:v>0.91965277777777754</c:v>
                </c:pt>
                <c:pt idx="141">
                  <c:v>0.92971944444444443</c:v>
                </c:pt>
                <c:pt idx="142">
                  <c:v>0.93985277777777776</c:v>
                </c:pt>
                <c:pt idx="143">
                  <c:v>0.95005277777777775</c:v>
                </c:pt>
                <c:pt idx="144">
                  <c:v>0.96031944444444439</c:v>
                </c:pt>
                <c:pt idx="145">
                  <c:v>0.97065277777777803</c:v>
                </c:pt>
                <c:pt idx="146">
                  <c:v>0.981052777777778</c:v>
                </c:pt>
                <c:pt idx="147">
                  <c:v>0.9915194444444444</c:v>
                </c:pt>
                <c:pt idx="148">
                  <c:v>1.0020527777777781</c:v>
                </c:pt>
                <c:pt idx="149">
                  <c:v>1.0126527777777778</c:v>
                </c:pt>
                <c:pt idx="150">
                  <c:v>1.0233194444444447</c:v>
                </c:pt>
              </c:numCache>
            </c:numRef>
          </c:yVal>
          <c:smooth val="1"/>
          <c:extLst>
            <c:ext xmlns:c16="http://schemas.microsoft.com/office/drawing/2014/chart" uri="{C3380CC4-5D6E-409C-BE32-E72D297353CC}">
              <c16:uniqueId val="{00000002-6DF5-4D18-8D30-EE142E0FBE5F}"/>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Eff_vs_IOUT!$AP$7:$AP$157</c:f>
              <c:numCache>
                <c:formatCode>General</c:formatCode>
                <c:ptCount val="151"/>
                <c:pt idx="0">
                  <c:v>1.3973333333333335E-3</c:v>
                </c:pt>
                <c:pt idx="1">
                  <c:v>1.4137083333333334E-3</c:v>
                </c:pt>
                <c:pt idx="2">
                  <c:v>1.4628333333333338E-3</c:v>
                </c:pt>
                <c:pt idx="3">
                  <c:v>1.5447083333333337E-3</c:v>
                </c:pt>
                <c:pt idx="4">
                  <c:v>1.6593333333333334E-3</c:v>
                </c:pt>
                <c:pt idx="5">
                  <c:v>1.8067083333333338E-3</c:v>
                </c:pt>
                <c:pt idx="6">
                  <c:v>1.9868333333333335E-3</c:v>
                </c:pt>
                <c:pt idx="7">
                  <c:v>2.1997083333333339E-3</c:v>
                </c:pt>
                <c:pt idx="8">
                  <c:v>2.4453333333333328E-3</c:v>
                </c:pt>
                <c:pt idx="9">
                  <c:v>2.7237083333333332E-3</c:v>
                </c:pt>
                <c:pt idx="10">
                  <c:v>3.034833333333333E-3</c:v>
                </c:pt>
                <c:pt idx="11">
                  <c:v>3.3787083333333338E-3</c:v>
                </c:pt>
                <c:pt idx="12">
                  <c:v>3.7553333333333323E-3</c:v>
                </c:pt>
                <c:pt idx="13">
                  <c:v>4.1647083333333345E-3</c:v>
                </c:pt>
                <c:pt idx="14">
                  <c:v>4.6068333333333334E-3</c:v>
                </c:pt>
                <c:pt idx="15">
                  <c:v>5.081708333333333E-3</c:v>
                </c:pt>
                <c:pt idx="16">
                  <c:v>5.5893333333333324E-3</c:v>
                </c:pt>
                <c:pt idx="17">
                  <c:v>6.1297083333333325E-3</c:v>
                </c:pt>
                <c:pt idx="18">
                  <c:v>6.7028333333333306E-3</c:v>
                </c:pt>
                <c:pt idx="19">
                  <c:v>7.3087083333333303E-3</c:v>
                </c:pt>
                <c:pt idx="20">
                  <c:v>7.947333333333334E-3</c:v>
                </c:pt>
                <c:pt idx="21">
                  <c:v>8.6187083333333324E-3</c:v>
                </c:pt>
                <c:pt idx="22">
                  <c:v>9.3228333333333323E-3</c:v>
                </c:pt>
                <c:pt idx="23">
                  <c:v>1.005970833333333E-2</c:v>
                </c:pt>
                <c:pt idx="24">
                  <c:v>1.0829333333333331E-2</c:v>
                </c:pt>
                <c:pt idx="25">
                  <c:v>1.1631708333333334E-2</c:v>
                </c:pt>
                <c:pt idx="26">
                  <c:v>1.2466833333333335E-2</c:v>
                </c:pt>
                <c:pt idx="27">
                  <c:v>1.3334708333333329E-2</c:v>
                </c:pt>
                <c:pt idx="28">
                  <c:v>1.4235333333333334E-2</c:v>
                </c:pt>
                <c:pt idx="29">
                  <c:v>1.5168708333333333E-2</c:v>
                </c:pt>
                <c:pt idx="30">
                  <c:v>1.6134833333333331E-2</c:v>
                </c:pt>
                <c:pt idx="31">
                  <c:v>1.7133708333333327E-2</c:v>
                </c:pt>
                <c:pt idx="32">
                  <c:v>1.8165333333333328E-2</c:v>
                </c:pt>
                <c:pt idx="33">
                  <c:v>1.9229708333333335E-2</c:v>
                </c:pt>
                <c:pt idx="34">
                  <c:v>2.0326833333333325E-2</c:v>
                </c:pt>
                <c:pt idx="35">
                  <c:v>2.1456708333333331E-2</c:v>
                </c:pt>
                <c:pt idx="36">
                  <c:v>2.2619333333333332E-2</c:v>
                </c:pt>
                <c:pt idx="37">
                  <c:v>2.3814708333333341E-2</c:v>
                </c:pt>
                <c:pt idx="38">
                  <c:v>2.5042833333333327E-2</c:v>
                </c:pt>
                <c:pt idx="39">
                  <c:v>2.6303708333333342E-2</c:v>
                </c:pt>
                <c:pt idx="40">
                  <c:v>2.7597333333333321E-2</c:v>
                </c:pt>
                <c:pt idx="41">
                  <c:v>2.8923708333333336E-2</c:v>
                </c:pt>
                <c:pt idx="42">
                  <c:v>3.0282833333333335E-2</c:v>
                </c:pt>
                <c:pt idx="43">
                  <c:v>3.1674708333333322E-2</c:v>
                </c:pt>
                <c:pt idx="44">
                  <c:v>3.3099333333333321E-2</c:v>
                </c:pt>
                <c:pt idx="45">
                  <c:v>3.4556708333333332E-2</c:v>
                </c:pt>
                <c:pt idx="46">
                  <c:v>3.6046833333333313E-2</c:v>
                </c:pt>
                <c:pt idx="47">
                  <c:v>3.7569708333333333E-2</c:v>
                </c:pt>
                <c:pt idx="48">
                  <c:v>3.9125333333333324E-2</c:v>
                </c:pt>
                <c:pt idx="49">
                  <c:v>4.0713708333333321E-2</c:v>
                </c:pt>
                <c:pt idx="50">
                  <c:v>4.2334833333333335E-2</c:v>
                </c:pt>
                <c:pt idx="51">
                  <c:v>4.3988708333333321E-2</c:v>
                </c:pt>
                <c:pt idx="52">
                  <c:v>4.5675333333333339E-2</c:v>
                </c:pt>
                <c:pt idx="53">
                  <c:v>4.7394708333333327E-2</c:v>
                </c:pt>
                <c:pt idx="54">
                  <c:v>4.914683333333332E-2</c:v>
                </c:pt>
                <c:pt idx="55">
                  <c:v>5.0931708333333332E-2</c:v>
                </c:pt>
                <c:pt idx="56">
                  <c:v>5.2749333333333336E-2</c:v>
                </c:pt>
                <c:pt idx="57">
                  <c:v>5.4599708333333316E-2</c:v>
                </c:pt>
                <c:pt idx="58">
                  <c:v>5.6482833333333329E-2</c:v>
                </c:pt>
                <c:pt idx="59">
                  <c:v>5.8398708333333306E-2</c:v>
                </c:pt>
                <c:pt idx="60">
                  <c:v>6.0347333333333322E-2</c:v>
                </c:pt>
                <c:pt idx="61">
                  <c:v>6.2328708333333302E-2</c:v>
                </c:pt>
                <c:pt idx="62">
                  <c:v>6.4342833333333307E-2</c:v>
                </c:pt>
                <c:pt idx="63">
                  <c:v>6.6389708333333339E-2</c:v>
                </c:pt>
                <c:pt idx="64">
                  <c:v>6.8469333333333313E-2</c:v>
                </c:pt>
                <c:pt idx="65">
                  <c:v>7.0581708333333326E-2</c:v>
                </c:pt>
                <c:pt idx="66">
                  <c:v>7.2726833333333338E-2</c:v>
                </c:pt>
                <c:pt idx="67">
                  <c:v>7.490470833333332E-2</c:v>
                </c:pt>
                <c:pt idx="68">
                  <c:v>7.71153333333333E-2</c:v>
                </c:pt>
                <c:pt idx="69">
                  <c:v>7.9358708333333305E-2</c:v>
                </c:pt>
                <c:pt idx="70">
                  <c:v>8.1634833333333323E-2</c:v>
                </c:pt>
                <c:pt idx="71">
                  <c:v>8.3943708333333339E-2</c:v>
                </c:pt>
                <c:pt idx="72">
                  <c:v>8.6285333333333311E-2</c:v>
                </c:pt>
                <c:pt idx="73">
                  <c:v>8.8659708333333323E-2</c:v>
                </c:pt>
                <c:pt idx="74">
                  <c:v>9.1066833333333347E-2</c:v>
                </c:pt>
                <c:pt idx="75">
                  <c:v>9.3506708333333313E-2</c:v>
                </c:pt>
                <c:pt idx="76">
                  <c:v>9.5979333333333278E-2</c:v>
                </c:pt>
                <c:pt idx="77">
                  <c:v>9.848470833333331E-2</c:v>
                </c:pt>
                <c:pt idx="78">
                  <c:v>0.10102283333333335</c:v>
                </c:pt>
                <c:pt idx="79">
                  <c:v>0.1035937083333333</c:v>
                </c:pt>
                <c:pt idx="80">
                  <c:v>0.10619733333333334</c:v>
                </c:pt>
                <c:pt idx="81">
                  <c:v>0.10883370833333335</c:v>
                </c:pt>
                <c:pt idx="82">
                  <c:v>0.11150283333333337</c:v>
                </c:pt>
                <c:pt idx="83">
                  <c:v>0.11420470833333334</c:v>
                </c:pt>
                <c:pt idx="84">
                  <c:v>0.11693933333333334</c:v>
                </c:pt>
                <c:pt idx="85">
                  <c:v>0.11970670833333331</c:v>
                </c:pt>
                <c:pt idx="86">
                  <c:v>0.12250683333333334</c:v>
                </c:pt>
                <c:pt idx="87">
                  <c:v>0.12533970833333333</c:v>
                </c:pt>
                <c:pt idx="88">
                  <c:v>0.12820533333333328</c:v>
                </c:pt>
                <c:pt idx="89">
                  <c:v>0.13110370833333332</c:v>
                </c:pt>
                <c:pt idx="90">
                  <c:v>0.13403483333333333</c:v>
                </c:pt>
                <c:pt idx="91">
                  <c:v>0.1369987083333333</c:v>
                </c:pt>
                <c:pt idx="92">
                  <c:v>0.13999533333333333</c:v>
                </c:pt>
                <c:pt idx="93">
                  <c:v>0.14302470833333333</c:v>
                </c:pt>
                <c:pt idx="94">
                  <c:v>0.14608683333333336</c:v>
                </c:pt>
                <c:pt idx="95">
                  <c:v>0.14918170833333333</c:v>
                </c:pt>
                <c:pt idx="96">
                  <c:v>0.15230933333333335</c:v>
                </c:pt>
                <c:pt idx="97">
                  <c:v>0.15546970833333335</c:v>
                </c:pt>
                <c:pt idx="98">
                  <c:v>0.15866283333333328</c:v>
                </c:pt>
                <c:pt idx="99">
                  <c:v>0.16188870833333333</c:v>
                </c:pt>
                <c:pt idx="100">
                  <c:v>0.16514733333333334</c:v>
                </c:pt>
                <c:pt idx="101">
                  <c:v>0.16843870833333333</c:v>
                </c:pt>
                <c:pt idx="102">
                  <c:v>0.17176283333333331</c:v>
                </c:pt>
                <c:pt idx="103">
                  <c:v>0.17511970833333332</c:v>
                </c:pt>
                <c:pt idx="104">
                  <c:v>0.17850933333333333</c:v>
                </c:pt>
                <c:pt idx="105">
                  <c:v>0.1819317083333333</c:v>
                </c:pt>
                <c:pt idx="106">
                  <c:v>0.18538683333333333</c:v>
                </c:pt>
                <c:pt idx="107">
                  <c:v>0.18887470833333328</c:v>
                </c:pt>
                <c:pt idx="108">
                  <c:v>0.19239533333333328</c:v>
                </c:pt>
                <c:pt idx="109">
                  <c:v>0.19594870833333336</c:v>
                </c:pt>
                <c:pt idx="110">
                  <c:v>0.19953483333333333</c:v>
                </c:pt>
                <c:pt idx="111">
                  <c:v>0.20315370833333335</c:v>
                </c:pt>
                <c:pt idx="112">
                  <c:v>0.20680533333333337</c:v>
                </c:pt>
                <c:pt idx="113">
                  <c:v>0.21048970833333325</c:v>
                </c:pt>
                <c:pt idx="114">
                  <c:v>0.21420683333333326</c:v>
                </c:pt>
                <c:pt idx="115">
                  <c:v>0.2179567083333333</c:v>
                </c:pt>
                <c:pt idx="116">
                  <c:v>0.22173933333333326</c:v>
                </c:pt>
                <c:pt idx="117">
                  <c:v>0.22555470833333333</c:v>
                </c:pt>
                <c:pt idx="118">
                  <c:v>0.22940283333333328</c:v>
                </c:pt>
                <c:pt idx="119">
                  <c:v>0.23328370833333337</c:v>
                </c:pt>
                <c:pt idx="120">
                  <c:v>0.23719733333333329</c:v>
                </c:pt>
                <c:pt idx="121">
                  <c:v>0.24114370833333329</c:v>
                </c:pt>
                <c:pt idx="122">
                  <c:v>0.24512283333333321</c:v>
                </c:pt>
                <c:pt idx="123">
                  <c:v>0.24913470833333323</c:v>
                </c:pt>
                <c:pt idx="124">
                  <c:v>0.25317933333333326</c:v>
                </c:pt>
                <c:pt idx="125">
                  <c:v>0.25725670833333331</c:v>
                </c:pt>
                <c:pt idx="126">
                  <c:v>0.26136683333333333</c:v>
                </c:pt>
                <c:pt idx="127">
                  <c:v>0.26550970833333332</c:v>
                </c:pt>
                <c:pt idx="128">
                  <c:v>0.26968533333333328</c:v>
                </c:pt>
                <c:pt idx="129">
                  <c:v>0.27389370833333326</c:v>
                </c:pt>
                <c:pt idx="130">
                  <c:v>0.27813483333333333</c:v>
                </c:pt>
                <c:pt idx="131">
                  <c:v>0.28240870833333331</c:v>
                </c:pt>
                <c:pt idx="132">
                  <c:v>0.28671533333333338</c:v>
                </c:pt>
                <c:pt idx="133">
                  <c:v>0.29105470833333341</c:v>
                </c:pt>
                <c:pt idx="134">
                  <c:v>0.29542683333333325</c:v>
                </c:pt>
                <c:pt idx="135">
                  <c:v>0.29983170833333322</c:v>
                </c:pt>
                <c:pt idx="136">
                  <c:v>0.30426933333333328</c:v>
                </c:pt>
                <c:pt idx="137">
                  <c:v>0.3087397083333332</c:v>
                </c:pt>
                <c:pt idx="138">
                  <c:v>0.31324283333333325</c:v>
                </c:pt>
                <c:pt idx="139">
                  <c:v>0.31777870833333327</c:v>
                </c:pt>
                <c:pt idx="140">
                  <c:v>0.32234733333333326</c:v>
                </c:pt>
                <c:pt idx="141">
                  <c:v>0.32694870833333328</c:v>
                </c:pt>
                <c:pt idx="142">
                  <c:v>0.33158283333333338</c:v>
                </c:pt>
                <c:pt idx="143">
                  <c:v>0.33624970833333323</c:v>
                </c:pt>
                <c:pt idx="144">
                  <c:v>0.34094933333333322</c:v>
                </c:pt>
                <c:pt idx="145">
                  <c:v>0.34568170833333323</c:v>
                </c:pt>
                <c:pt idx="146">
                  <c:v>0.35044683333333321</c:v>
                </c:pt>
                <c:pt idx="147">
                  <c:v>0.35524470833333327</c:v>
                </c:pt>
                <c:pt idx="148">
                  <c:v>0.36007533333333341</c:v>
                </c:pt>
                <c:pt idx="149">
                  <c:v>0.36493870833333336</c:v>
                </c:pt>
                <c:pt idx="150">
                  <c:v>0.36983483333333333</c:v>
                </c:pt>
              </c:numCache>
            </c:numRef>
          </c:yVal>
          <c:smooth val="1"/>
          <c:extLst>
            <c:ext xmlns:c16="http://schemas.microsoft.com/office/drawing/2014/chart" uri="{C3380CC4-5D6E-409C-BE32-E72D297353CC}">
              <c16:uniqueId val="{00000003-6DF5-4D18-8D30-EE142E0FBE5F}"/>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Eff_vs_VIN!$AW$7:$AW$157</c:f>
              <c:numCache>
                <c:formatCode>General</c:formatCode>
                <c:ptCount val="151"/>
                <c:pt idx="0">
                  <c:v>95.204190586758813</c:v>
                </c:pt>
                <c:pt idx="1">
                  <c:v>95.208807947341171</c:v>
                </c:pt>
                <c:pt idx="2">
                  <c:v>95.213418127637723</c:v>
                </c:pt>
                <c:pt idx="3">
                  <c:v>95.218021142996236</c:v>
                </c:pt>
                <c:pt idx="4">
                  <c:v>95.222617008722565</c:v>
                </c:pt>
                <c:pt idx="5">
                  <c:v>95.227205740080962</c:v>
                </c:pt>
                <c:pt idx="6">
                  <c:v>95.23178735229412</c:v>
                </c:pt>
                <c:pt idx="7">
                  <c:v>95.236361860543255</c:v>
                </c:pt>
                <c:pt idx="8">
                  <c:v>95.240929279968356</c:v>
                </c:pt>
                <c:pt idx="9">
                  <c:v>95.245489625668171</c:v>
                </c:pt>
                <c:pt idx="10">
                  <c:v>95.250042912700437</c:v>
                </c:pt>
                <c:pt idx="11">
                  <c:v>95.254589156081991</c:v>
                </c:pt>
                <c:pt idx="12">
                  <c:v>95.259128370788844</c:v>
                </c:pt>
                <c:pt idx="13">
                  <c:v>95.263660571756319</c:v>
                </c:pt>
                <c:pt idx="14">
                  <c:v>95.268185773879239</c:v>
                </c:pt>
                <c:pt idx="15">
                  <c:v>95.272703992012026</c:v>
                </c:pt>
                <c:pt idx="16">
                  <c:v>95.277215240968701</c:v>
                </c:pt>
                <c:pt idx="17">
                  <c:v>95.281719535523223</c:v>
                </c:pt>
                <c:pt idx="18">
                  <c:v>95.286216890409435</c:v>
                </c:pt>
                <c:pt idx="19">
                  <c:v>95.290707320321246</c:v>
                </c:pt>
                <c:pt idx="20">
                  <c:v>95.295190839912792</c:v>
                </c:pt>
                <c:pt idx="21">
                  <c:v>95.299667463798514</c:v>
                </c:pt>
                <c:pt idx="22">
                  <c:v>95.304137206553236</c:v>
                </c:pt>
                <c:pt idx="23">
                  <c:v>95.308600082712431</c:v>
                </c:pt>
                <c:pt idx="24">
                  <c:v>95.313056106772152</c:v>
                </c:pt>
                <c:pt idx="25">
                  <c:v>95.317505293189299</c:v>
                </c:pt>
                <c:pt idx="26">
                  <c:v>95.321947656381681</c:v>
                </c:pt>
                <c:pt idx="27">
                  <c:v>95.32638321072811</c:v>
                </c:pt>
                <c:pt idx="28">
                  <c:v>95.33081197056859</c:v>
                </c:pt>
                <c:pt idx="29">
                  <c:v>95.335233950204341</c:v>
                </c:pt>
                <c:pt idx="30">
                  <c:v>95.339649163898031</c:v>
                </c:pt>
                <c:pt idx="31">
                  <c:v>95.344057625873774</c:v>
                </c:pt>
                <c:pt idx="32">
                  <c:v>95.348459350317327</c:v>
                </c:pt>
                <c:pt idx="33">
                  <c:v>95.352854351376166</c:v>
                </c:pt>
                <c:pt idx="34">
                  <c:v>95.35724264315968</c:v>
                </c:pt>
                <c:pt idx="35">
                  <c:v>95.361624239739157</c:v>
                </c:pt>
                <c:pt idx="36">
                  <c:v>95.365999155147946</c:v>
                </c:pt>
                <c:pt idx="37">
                  <c:v>95.370367403381707</c:v>
                </c:pt>
                <c:pt idx="38">
                  <c:v>95.374728998398297</c:v>
                </c:pt>
                <c:pt idx="39">
                  <c:v>95.379083954118045</c:v>
                </c:pt>
                <c:pt idx="40">
                  <c:v>95.383432284423819</c:v>
                </c:pt>
                <c:pt idx="41">
                  <c:v>95.387774003161113</c:v>
                </c:pt>
                <c:pt idx="42">
                  <c:v>95.39210912413823</c:v>
                </c:pt>
                <c:pt idx="43">
                  <c:v>95.396437661126328</c:v>
                </c:pt>
                <c:pt idx="44">
                  <c:v>95.400759627859514</c:v>
                </c:pt>
                <c:pt idx="45">
                  <c:v>95.405075038035065</c:v>
                </c:pt>
                <c:pt idx="46">
                  <c:v>95.409383905313419</c:v>
                </c:pt>
                <c:pt idx="47">
                  <c:v>95.413686243318338</c:v>
                </c:pt>
                <c:pt idx="48">
                  <c:v>95.417982065637048</c:v>
                </c:pt>
                <c:pt idx="49">
                  <c:v>95.422271385820295</c:v>
                </c:pt>
                <c:pt idx="50">
                  <c:v>95.42655421738246</c:v>
                </c:pt>
                <c:pt idx="51">
                  <c:v>95.430830573801728</c:v>
                </c:pt>
                <c:pt idx="52">
                  <c:v>95.435100468520105</c:v>
                </c:pt>
                <c:pt idx="53">
                  <c:v>95.439363914943627</c:v>
                </c:pt>
                <c:pt idx="54">
                  <c:v>95.44362092644235</c:v>
                </c:pt>
                <c:pt idx="55">
                  <c:v>95.447871516350617</c:v>
                </c:pt>
                <c:pt idx="56">
                  <c:v>95.452115697966946</c:v>
                </c:pt>
                <c:pt idx="57">
                  <c:v>95.456353484554398</c:v>
                </c:pt>
                <c:pt idx="58">
                  <c:v>95.460584889340439</c:v>
                </c:pt>
                <c:pt idx="59">
                  <c:v>95.464809925517244</c:v>
                </c:pt>
                <c:pt idx="60">
                  <c:v>95.46902860624165</c:v>
                </c:pt>
                <c:pt idx="61">
                  <c:v>95.473240944635322</c:v>
                </c:pt>
                <c:pt idx="62">
                  <c:v>95.477446953784934</c:v>
                </c:pt>
                <c:pt idx="63">
                  <c:v>95.481646646742121</c:v>
                </c:pt>
                <c:pt idx="64">
                  <c:v>95.48584003652374</c:v>
                </c:pt>
                <c:pt idx="65">
                  <c:v>95.49002713611182</c:v>
                </c:pt>
                <c:pt idx="66">
                  <c:v>95.494207958453813</c:v>
                </c:pt>
                <c:pt idx="67">
                  <c:v>95.498382516462584</c:v>
                </c:pt>
                <c:pt idx="68">
                  <c:v>95.502550823016591</c:v>
                </c:pt>
                <c:pt idx="69">
                  <c:v>95.506712890959903</c:v>
                </c:pt>
                <c:pt idx="70">
                  <c:v>95.510868733102441</c:v>
                </c:pt>
                <c:pt idx="71">
                  <c:v>95.515018362219891</c:v>
                </c:pt>
                <c:pt idx="72">
                  <c:v>95.519161791053989</c:v>
                </c:pt>
                <c:pt idx="73">
                  <c:v>95.523299032312508</c:v>
                </c:pt>
                <c:pt idx="74">
                  <c:v>95.527430098669399</c:v>
                </c:pt>
                <c:pt idx="75">
                  <c:v>95.531555002764861</c:v>
                </c:pt>
                <c:pt idx="76">
                  <c:v>95.535673757205501</c:v>
                </c:pt>
                <c:pt idx="77">
                  <c:v>95.5397863745644</c:v>
                </c:pt>
                <c:pt idx="78">
                  <c:v>95.543892867381146</c:v>
                </c:pt>
                <c:pt idx="79">
                  <c:v>95.547993248162086</c:v>
                </c:pt>
                <c:pt idx="80">
                  <c:v>95.552087529380287</c:v>
                </c:pt>
                <c:pt idx="81">
                  <c:v>95.556175723475661</c:v>
                </c:pt>
                <c:pt idx="82">
                  <c:v>95.560257842855137</c:v>
                </c:pt>
                <c:pt idx="83">
                  <c:v>95.564333899892674</c:v>
                </c:pt>
                <c:pt idx="84">
                  <c:v>95.568403906929419</c:v>
                </c:pt>
                <c:pt idx="85">
                  <c:v>95.572467876273762</c:v>
                </c:pt>
                <c:pt idx="86">
                  <c:v>95.576525820201425</c:v>
                </c:pt>
                <c:pt idx="87">
                  <c:v>95.580577750955626</c:v>
                </c:pt>
                <c:pt idx="88">
                  <c:v>95.5846236807471</c:v>
                </c:pt>
                <c:pt idx="89">
                  <c:v>95.588663621754222</c:v>
                </c:pt>
                <c:pt idx="90">
                  <c:v>95.592697586123137</c:v>
                </c:pt>
                <c:pt idx="91">
                  <c:v>95.596725585967803</c:v>
                </c:pt>
                <c:pt idx="92">
                  <c:v>95.600747633370105</c:v>
                </c:pt>
                <c:pt idx="93">
                  <c:v>95.604763740379937</c:v>
                </c:pt>
                <c:pt idx="94">
                  <c:v>95.608773919015363</c:v>
                </c:pt>
                <c:pt idx="95">
                  <c:v>95.612778181262613</c:v>
                </c:pt>
                <c:pt idx="96">
                  <c:v>95.616776539076227</c:v>
                </c:pt>
                <c:pt idx="97">
                  <c:v>95.620769004379142</c:v>
                </c:pt>
                <c:pt idx="98">
                  <c:v>95.624755589062815</c:v>
                </c:pt>
                <c:pt idx="99">
                  <c:v>95.628736304987257</c:v>
                </c:pt>
                <c:pt idx="100">
                  <c:v>95.632711163981156</c:v>
                </c:pt>
                <c:pt idx="101">
                  <c:v>95.63668017784201</c:v>
                </c:pt>
                <c:pt idx="102">
                  <c:v>95.640643358336092</c:v>
                </c:pt>
                <c:pt idx="103">
                  <c:v>95.644600717198742</c:v>
                </c:pt>
                <c:pt idx="104">
                  <c:v>95.648552266134217</c:v>
                </c:pt>
                <c:pt idx="105">
                  <c:v>95.652498016816011</c:v>
                </c:pt>
                <c:pt idx="106">
                  <c:v>95.656437980886778</c:v>
                </c:pt>
                <c:pt idx="107">
                  <c:v>95.660372169958535</c:v>
                </c:pt>
                <c:pt idx="108">
                  <c:v>95.664300595612644</c:v>
                </c:pt>
                <c:pt idx="109">
                  <c:v>95.668223269400002</c:v>
                </c:pt>
                <c:pt idx="110">
                  <c:v>95.672140202841078</c:v>
                </c:pt>
                <c:pt idx="111">
                  <c:v>95.67605140742603</c:v>
                </c:pt>
                <c:pt idx="112">
                  <c:v>95.679956894614733</c:v>
                </c:pt>
                <c:pt idx="113">
                  <c:v>95.683856675836964</c:v>
                </c:pt>
                <c:pt idx="114">
                  <c:v>95.687750762492371</c:v>
                </c:pt>
                <c:pt idx="115">
                  <c:v>95.69163916595069</c:v>
                </c:pt>
                <c:pt idx="116">
                  <c:v>95.695521897551743</c:v>
                </c:pt>
                <c:pt idx="117">
                  <c:v>95.699398968605536</c:v>
                </c:pt>
                <c:pt idx="118">
                  <c:v>95.703270390392376</c:v>
                </c:pt>
                <c:pt idx="119">
                  <c:v>95.707136174162983</c:v>
                </c:pt>
                <c:pt idx="120">
                  <c:v>95.710996331138404</c:v>
                </c:pt>
                <c:pt idx="121">
                  <c:v>95.714850872510411</c:v>
                </c:pt>
                <c:pt idx="122">
                  <c:v>95.718699809441247</c:v>
                </c:pt>
                <c:pt idx="123">
                  <c:v>95.722543153063981</c:v>
                </c:pt>
                <c:pt idx="124">
                  <c:v>95.726380914482405</c:v>
                </c:pt>
                <c:pt idx="125">
                  <c:v>95.730213104771281</c:v>
                </c:pt>
                <c:pt idx="126">
                  <c:v>95.73403973497625</c:v>
                </c:pt>
                <c:pt idx="127">
                  <c:v>95.737860816114079</c:v>
                </c:pt>
                <c:pt idx="128">
                  <c:v>95.741676359172601</c:v>
                </c:pt>
                <c:pt idx="129">
                  <c:v>95.745486375110971</c:v>
                </c:pt>
                <c:pt idx="130">
                  <c:v>95.749290874859554</c:v>
                </c:pt>
                <c:pt idx="131">
                  <c:v>95.753089869320149</c:v>
                </c:pt>
                <c:pt idx="132">
                  <c:v>95.756883369366037</c:v>
                </c:pt>
                <c:pt idx="133">
                  <c:v>95.760671385842016</c:v>
                </c:pt>
                <c:pt idx="134">
                  <c:v>95.764453929564539</c:v>
                </c:pt>
                <c:pt idx="135">
                  <c:v>95.768231011321831</c:v>
                </c:pt>
                <c:pt idx="136">
                  <c:v>95.772002641873797</c:v>
                </c:pt>
                <c:pt idx="137">
                  <c:v>95.77576883195232</c:v>
                </c:pt>
                <c:pt idx="138">
                  <c:v>95.779529592261269</c:v>
                </c:pt>
                <c:pt idx="139">
                  <c:v>95.783284933476438</c:v>
                </c:pt>
                <c:pt idx="140">
                  <c:v>95.787034866245861</c:v>
                </c:pt>
                <c:pt idx="141">
                  <c:v>95.790779401189724</c:v>
                </c:pt>
                <c:pt idx="142">
                  <c:v>95.794518548900484</c:v>
                </c:pt>
                <c:pt idx="143">
                  <c:v>95.798252319943018</c:v>
                </c:pt>
                <c:pt idx="144">
                  <c:v>95.80198072485463</c:v>
                </c:pt>
                <c:pt idx="145">
                  <c:v>95.805703774145101</c:v>
                </c:pt>
                <c:pt idx="146">
                  <c:v>95.809421478296869</c:v>
                </c:pt>
                <c:pt idx="147">
                  <c:v>95.813133847765059</c:v>
                </c:pt>
                <c:pt idx="148">
                  <c:v>95.816840892977496</c:v>
                </c:pt>
                <c:pt idx="149">
                  <c:v>95.820542624334905</c:v>
                </c:pt>
                <c:pt idx="150">
                  <c:v>95.824239052210899</c:v>
                </c:pt>
              </c:numCache>
            </c:numRef>
          </c:yVal>
          <c:smooth val="0"/>
          <c:extLst>
            <c:ext xmlns:c16="http://schemas.microsoft.com/office/drawing/2014/chart" uri="{C3380CC4-5D6E-409C-BE32-E72D297353CC}">
              <c16:uniqueId val="{00000000-0B1C-42A1-BAB5-10FCC4361A6B}"/>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Eff_vs_VIN!$AI$7:$AI$157</c:f>
              <c:numCache>
                <c:formatCode>General</c:formatCode>
                <c:ptCount val="151"/>
                <c:pt idx="0">
                  <c:v>0.89070383974028278</c:v>
                </c:pt>
                <c:pt idx="1">
                  <c:v>0.88947627159510523</c:v>
                </c:pt>
                <c:pt idx="2">
                  <c:v>0.88825094208854549</c:v>
                </c:pt>
                <c:pt idx="3">
                  <c:v>0.88702784592463946</c:v>
                </c:pt>
                <c:pt idx="4">
                  <c:v>0.88580697782299489</c:v>
                </c:pt>
                <c:pt idx="5">
                  <c:v>0.88458833251873958</c:v>
                </c:pt>
                <c:pt idx="6">
                  <c:v>0.88337190476246485</c:v>
                </c:pt>
                <c:pt idx="7">
                  <c:v>0.88215768932017191</c:v>
                </c:pt>
                <c:pt idx="8">
                  <c:v>0.88094568097322012</c:v>
                </c:pt>
                <c:pt idx="9">
                  <c:v>0.87973587451826962</c:v>
                </c:pt>
                <c:pt idx="10">
                  <c:v>0.87852826476723067</c:v>
                </c:pt>
                <c:pt idx="11">
                  <c:v>0.8773228465472076</c:v>
                </c:pt>
                <c:pt idx="12">
                  <c:v>0.87611961470044997</c:v>
                </c:pt>
                <c:pt idx="13">
                  <c:v>0.87491856408429469</c:v>
                </c:pt>
                <c:pt idx="14">
                  <c:v>0.87371968957111723</c:v>
                </c:pt>
                <c:pt idx="15">
                  <c:v>0.87252298604827749</c:v>
                </c:pt>
                <c:pt idx="16">
                  <c:v>0.87132844841806678</c:v>
                </c:pt>
                <c:pt idx="17">
                  <c:v>0.87013607159765871</c:v>
                </c:pt>
                <c:pt idx="18">
                  <c:v>0.86894585051905426</c:v>
                </c:pt>
                <c:pt idx="19">
                  <c:v>0.86775778012903071</c:v>
                </c:pt>
                <c:pt idx="20">
                  <c:v>0.86657185538909354</c:v>
                </c:pt>
                <c:pt idx="21">
                  <c:v>0.8653880712754195</c:v>
                </c:pt>
                <c:pt idx="22">
                  <c:v>0.8642064227788111</c:v>
                </c:pt>
                <c:pt idx="23">
                  <c:v>0.86302690490464262</c:v>
                </c:pt>
                <c:pt idx="24">
                  <c:v>0.8618495126728114</c:v>
                </c:pt>
                <c:pt idx="25">
                  <c:v>0.86067424111768442</c:v>
                </c:pt>
                <c:pt idx="26">
                  <c:v>0.8595010852880518</c:v>
                </c:pt>
                <c:pt idx="27">
                  <c:v>0.85833004024707571</c:v>
                </c:pt>
                <c:pt idx="28">
                  <c:v>0.85716110107223886</c:v>
                </c:pt>
                <c:pt idx="29">
                  <c:v>0.85599426285529723</c:v>
                </c:pt>
                <c:pt idx="30">
                  <c:v>0.85482952070222906</c:v>
                </c:pt>
                <c:pt idx="31">
                  <c:v>0.85366686973318662</c:v>
                </c:pt>
                <c:pt idx="32">
                  <c:v>0.85250630508244774</c:v>
                </c:pt>
                <c:pt idx="33">
                  <c:v>0.85134782189836433</c:v>
                </c:pt>
                <c:pt idx="34">
                  <c:v>0.85019141534331855</c:v>
                </c:pt>
                <c:pt idx="35">
                  <c:v>0.84903708059366823</c:v>
                </c:pt>
                <c:pt idx="36">
                  <c:v>0.84788481283970485</c:v>
                </c:pt>
                <c:pt idx="37">
                  <c:v>0.84673460728560168</c:v>
                </c:pt>
                <c:pt idx="38">
                  <c:v>0.8455864591493667</c:v>
                </c:pt>
                <c:pt idx="39">
                  <c:v>0.8444403636627964</c:v>
                </c:pt>
                <c:pt idx="40">
                  <c:v>0.84329631607142597</c:v>
                </c:pt>
                <c:pt idx="41">
                  <c:v>0.84215431163448495</c:v>
                </c:pt>
                <c:pt idx="42">
                  <c:v>0.84101434562484678</c:v>
                </c:pt>
                <c:pt idx="43">
                  <c:v>0.83987641332898444</c:v>
                </c:pt>
                <c:pt idx="44">
                  <c:v>0.83874051004692451</c:v>
                </c:pt>
                <c:pt idx="45">
                  <c:v>0.83760663109219691</c:v>
                </c:pt>
                <c:pt idx="46">
                  <c:v>0.83647477179179308</c:v>
                </c:pt>
                <c:pt idx="47">
                  <c:v>0.83534492748611644</c:v>
                </c:pt>
                <c:pt idx="48">
                  <c:v>0.83421709352893758</c:v>
                </c:pt>
                <c:pt idx="49">
                  <c:v>0.83309126528734989</c:v>
                </c:pt>
                <c:pt idx="50">
                  <c:v>0.83196743814172169</c:v>
                </c:pt>
                <c:pt idx="51">
                  <c:v>0.83084560748565262</c:v>
                </c:pt>
                <c:pt idx="52">
                  <c:v>0.82972576872592696</c:v>
                </c:pt>
                <c:pt idx="53">
                  <c:v>0.82860791728247007</c:v>
                </c:pt>
                <c:pt idx="54">
                  <c:v>0.82749204858830216</c:v>
                </c:pt>
                <c:pt idx="55">
                  <c:v>0.82637815808949466</c:v>
                </c:pt>
                <c:pt idx="56">
                  <c:v>0.82526624124512593</c:v>
                </c:pt>
                <c:pt idx="57">
                  <c:v>0.8241562935272343</c:v>
                </c:pt>
                <c:pt idx="58">
                  <c:v>0.82304831042077864</c:v>
                </c:pt>
                <c:pt idx="59">
                  <c:v>0.82194228742358955</c:v>
                </c:pt>
                <c:pt idx="60">
                  <c:v>0.82083822004632845</c:v>
                </c:pt>
                <c:pt idx="61">
                  <c:v>0.81973610381244311</c:v>
                </c:pt>
                <c:pt idx="62">
                  <c:v>0.81863593425812464</c:v>
                </c:pt>
                <c:pt idx="63">
                  <c:v>0.81753770693226346</c:v>
                </c:pt>
                <c:pt idx="64">
                  <c:v>0.8164414173964063</c:v>
                </c:pt>
                <c:pt idx="65">
                  <c:v>0.81534706122471334</c:v>
                </c:pt>
                <c:pt idx="66">
                  <c:v>0.81425463400391718</c:v>
                </c:pt>
                <c:pt idx="67">
                  <c:v>0.81316413133327625</c:v>
                </c:pt>
                <c:pt idx="68">
                  <c:v>0.81207554882453625</c:v>
                </c:pt>
                <c:pt idx="69">
                  <c:v>0.8109888821018858</c:v>
                </c:pt>
                <c:pt idx="70">
                  <c:v>0.80990412680191581</c:v>
                </c:pt>
                <c:pt idx="71">
                  <c:v>0.80882127857357511</c:v>
                </c:pt>
                <c:pt idx="72">
                  <c:v>0.80774033307813098</c:v>
                </c:pt>
                <c:pt idx="73">
                  <c:v>0.80666128598912656</c:v>
                </c:pt>
                <c:pt idx="74">
                  <c:v>0.80558413299233955</c:v>
                </c:pt>
                <c:pt idx="75">
                  <c:v>0.80450886978574165</c:v>
                </c:pt>
                <c:pt idx="76">
                  <c:v>0.80343549207945508</c:v>
                </c:pt>
                <c:pt idx="77">
                  <c:v>0.80236399559571403</c:v>
                </c:pt>
                <c:pt idx="78">
                  <c:v>0.80129437606882381</c:v>
                </c:pt>
                <c:pt idx="79">
                  <c:v>0.80022662924511767</c:v>
                </c:pt>
                <c:pt idx="80">
                  <c:v>0.79916075088291938</c:v>
                </c:pt>
                <c:pt idx="81">
                  <c:v>0.79809673675250137</c:v>
                </c:pt>
                <c:pt idx="82">
                  <c:v>0.7970345826360441</c:v>
                </c:pt>
                <c:pt idx="83">
                  <c:v>0.79597428432759743</c:v>
                </c:pt>
                <c:pt idx="84">
                  <c:v>0.79491583763303852</c:v>
                </c:pt>
                <c:pt idx="85">
                  <c:v>0.7938592383700358</c:v>
                </c:pt>
                <c:pt idx="86">
                  <c:v>0.79280448236800516</c:v>
                </c:pt>
                <c:pt idx="87">
                  <c:v>0.79175156546807379</c:v>
                </c:pt>
                <c:pt idx="88">
                  <c:v>0.79070048352303912</c:v>
                </c:pt>
                <c:pt idx="89">
                  <c:v>0.78965123239732971</c:v>
                </c:pt>
                <c:pt idx="90">
                  <c:v>0.78860380796696861</c:v>
                </c:pt>
                <c:pt idx="91">
                  <c:v>0.78755820611953098</c:v>
                </c:pt>
                <c:pt idx="92">
                  <c:v>0.78651442275410854</c:v>
                </c:pt>
                <c:pt idx="93">
                  <c:v>0.78547245378126918</c:v>
                </c:pt>
                <c:pt idx="94">
                  <c:v>0.78443229512301937</c:v>
                </c:pt>
                <c:pt idx="95">
                  <c:v>0.78339394271276586</c:v>
                </c:pt>
                <c:pt idx="96">
                  <c:v>0.78235739249527725</c:v>
                </c:pt>
                <c:pt idx="97">
                  <c:v>0.78132264042664756</c:v>
                </c:pt>
                <c:pt idx="98">
                  <c:v>0.78028968247425601</c:v>
                </c:pt>
                <c:pt idx="99">
                  <c:v>0.77925851461673079</c:v>
                </c:pt>
                <c:pt idx="100">
                  <c:v>0.77822913284391293</c:v>
                </c:pt>
                <c:pt idx="101">
                  <c:v>0.77720153315681595</c:v>
                </c:pt>
                <c:pt idx="102">
                  <c:v>0.77617571156759135</c:v>
                </c:pt>
                <c:pt idx="103">
                  <c:v>0.77515166409948955</c:v>
                </c:pt>
                <c:pt idx="104">
                  <c:v>0.7741293867868253</c:v>
                </c:pt>
                <c:pt idx="105">
                  <c:v>0.77310887567493825</c:v>
                </c:pt>
                <c:pt idx="106">
                  <c:v>0.77209012682015765</c:v>
                </c:pt>
                <c:pt idx="107">
                  <c:v>0.77107313628976781</c:v>
                </c:pt>
                <c:pt idx="108">
                  <c:v>0.77005790016196729</c:v>
                </c:pt>
                <c:pt idx="109">
                  <c:v>0.76904441452583727</c:v>
                </c:pt>
                <c:pt idx="110">
                  <c:v>0.76803267548130183</c:v>
                </c:pt>
                <c:pt idx="111">
                  <c:v>0.76702267913909516</c:v>
                </c:pt>
                <c:pt idx="112">
                  <c:v>0.76601442162072364</c:v>
                </c:pt>
                <c:pt idx="113">
                  <c:v>0.76500789905843014</c:v>
                </c:pt>
                <c:pt idx="114">
                  <c:v>0.76400310759516088</c:v>
                </c:pt>
                <c:pt idx="115">
                  <c:v>0.76300004338452654</c:v>
                </c:pt>
                <c:pt idx="116">
                  <c:v>0.76199870259077085</c:v>
                </c:pt>
                <c:pt idx="117">
                  <c:v>0.76099908138873218</c:v>
                </c:pt>
                <c:pt idx="118">
                  <c:v>0.76000117596380967</c:v>
                </c:pt>
                <c:pt idx="119">
                  <c:v>0.75900498251193005</c:v>
                </c:pt>
                <c:pt idx="120">
                  <c:v>0.75801049723950986</c:v>
                </c:pt>
                <c:pt idx="121">
                  <c:v>0.75701771636342452</c:v>
                </c:pt>
                <c:pt idx="122">
                  <c:v>0.75602663611096999</c:v>
                </c:pt>
                <c:pt idx="123">
                  <c:v>0.75503725271983169</c:v>
                </c:pt>
                <c:pt idx="124">
                  <c:v>0.75404956243804855</c:v>
                </c:pt>
                <c:pt idx="125">
                  <c:v>0.75306356152397935</c:v>
                </c:pt>
                <c:pt idx="126">
                  <c:v>0.75207924624626932</c:v>
                </c:pt>
                <c:pt idx="127">
                  <c:v>0.75109661288381557</c:v>
                </c:pt>
                <c:pt idx="128">
                  <c:v>0.75011565772573396</c:v>
                </c:pt>
                <c:pt idx="129">
                  <c:v>0.7491363770713253</c:v>
                </c:pt>
                <c:pt idx="130">
                  <c:v>0.74815876723004215</c:v>
                </c:pt>
                <c:pt idx="131">
                  <c:v>0.74718282452145579</c:v>
                </c:pt>
                <c:pt idx="132">
                  <c:v>0.74620854527522162</c:v>
                </c:pt>
                <c:pt idx="133">
                  <c:v>0.74523592583104881</c:v>
                </c:pt>
                <c:pt idx="134">
                  <c:v>0.74426496253866437</c:v>
                </c:pt>
                <c:pt idx="135">
                  <c:v>0.74329565175778223</c:v>
                </c:pt>
                <c:pt idx="136">
                  <c:v>0.74232798985807136</c:v>
                </c:pt>
                <c:pt idx="137">
                  <c:v>0.74136197321912034</c:v>
                </c:pt>
                <c:pt idx="138">
                  <c:v>0.74039759823040807</c:v>
                </c:pt>
                <c:pt idx="139">
                  <c:v>0.7394348612912689</c:v>
                </c:pt>
                <c:pt idx="140">
                  <c:v>0.73847375881086186</c:v>
                </c:pt>
                <c:pt idx="141">
                  <c:v>0.73751428720813994</c:v>
                </c:pt>
                <c:pt idx="142">
                  <c:v>0.73655644291181455</c:v>
                </c:pt>
                <c:pt idx="143">
                  <c:v>0.73560022236032729</c:v>
                </c:pt>
                <c:pt idx="144">
                  <c:v>0.73464562200181582</c:v>
                </c:pt>
                <c:pt idx="145">
                  <c:v>0.73369263829408415</c:v>
                </c:pt>
                <c:pt idx="146">
                  <c:v>0.73274126770456993</c:v>
                </c:pt>
                <c:pt idx="147">
                  <c:v>0.7317915067103129</c:v>
                </c:pt>
                <c:pt idx="148">
                  <c:v>0.73084335179792514</c:v>
                </c:pt>
                <c:pt idx="149">
                  <c:v>0.72989679946355901</c:v>
                </c:pt>
                <c:pt idx="150">
                  <c:v>0.72895184621287634</c:v>
                </c:pt>
              </c:numCache>
            </c:numRef>
          </c:yVal>
          <c:smooth val="1"/>
          <c:extLst>
            <c:ext xmlns:c16="http://schemas.microsoft.com/office/drawing/2014/chart" uri="{C3380CC4-5D6E-409C-BE32-E72D297353CC}">
              <c16:uniqueId val="{00000001-0B1C-42A1-BAB5-10FCC4361A6B}"/>
            </c:ext>
          </c:extLst>
        </c:ser>
        <c:ser>
          <c:idx val="2"/>
          <c:order val="2"/>
          <c:tx>
            <c:v>HS MOSFET</c:v>
          </c:tx>
          <c:spPr>
            <a:ln>
              <a:solidFill>
                <a:schemeClr val="bg2">
                  <a:lumMod val="50000"/>
                </a:schemeClr>
              </a:solidFill>
              <a:prstDash val="sysDash"/>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Eff_vs_VIN!$AO$7:$AO$157</c:f>
              <c:numCache>
                <c:formatCode>General</c:formatCode>
                <c:ptCount val="151"/>
                <c:pt idx="0">
                  <c:v>1.0610148238230848</c:v>
                </c:pt>
                <c:pt idx="1">
                  <c:v>1.0604918075377909</c:v>
                </c:pt>
                <c:pt idx="2">
                  <c:v>1.0599693671805361</c:v>
                </c:pt>
                <c:pt idx="3">
                  <c:v>1.05944750171136</c:v>
                </c:pt>
                <c:pt idx="4">
                  <c:v>1.0589262100927517</c:v>
                </c:pt>
                <c:pt idx="5">
                  <c:v>1.0584054912896452</c:v>
                </c:pt>
                <c:pt idx="6">
                  <c:v>1.0578853442694112</c:v>
                </c:pt>
                <c:pt idx="7">
                  <c:v>1.0573657680018507</c:v>
                </c:pt>
                <c:pt idx="8">
                  <c:v>1.0568467614591899</c:v>
                </c:pt>
                <c:pt idx="9">
                  <c:v>1.056328323616071</c:v>
                </c:pt>
                <c:pt idx="10">
                  <c:v>1.055810453449546</c:v>
                </c:pt>
                <c:pt idx="11">
                  <c:v>1.0552931499390696</c:v>
                </c:pt>
                <c:pt idx="12">
                  <c:v>1.0547764120664962</c:v>
                </c:pt>
                <c:pt idx="13">
                  <c:v>1.0542602388160667</c:v>
                </c:pt>
                <c:pt idx="14">
                  <c:v>1.0537446291744073</c:v>
                </c:pt>
                <c:pt idx="15">
                  <c:v>1.0532295821305206</c:v>
                </c:pt>
                <c:pt idx="16">
                  <c:v>1.052715096675779</c:v>
                </c:pt>
                <c:pt idx="17">
                  <c:v>1.052201171803919</c:v>
                </c:pt>
                <c:pt idx="18">
                  <c:v>1.0516878065110336</c:v>
                </c:pt>
                <c:pt idx="19">
                  <c:v>1.0511749997955653</c:v>
                </c:pt>
                <c:pt idx="20">
                  <c:v>1.0506627506583028</c:v>
                </c:pt>
                <c:pt idx="21">
                  <c:v>1.0501510581023701</c:v>
                </c:pt>
                <c:pt idx="22">
                  <c:v>1.0496399211332228</c:v>
                </c:pt>
                <c:pt idx="23">
                  <c:v>1.04912933875864</c:v>
                </c:pt>
                <c:pt idx="24">
                  <c:v>1.0486193099887215</c:v>
                </c:pt>
                <c:pt idx="25">
                  <c:v>1.0481098338358756</c:v>
                </c:pt>
                <c:pt idx="26">
                  <c:v>1.0476009093148166</c:v>
                </c:pt>
                <c:pt idx="27">
                  <c:v>1.0470925354425593</c:v>
                </c:pt>
                <c:pt idx="28">
                  <c:v>1.046584711238409</c:v>
                </c:pt>
                <c:pt idx="29">
                  <c:v>1.0460774357239573</c:v>
                </c:pt>
                <c:pt idx="30">
                  <c:v>1.0455707079230767</c:v>
                </c:pt>
                <c:pt idx="31">
                  <c:v>1.0450645268619132</c:v>
                </c:pt>
                <c:pt idx="32">
                  <c:v>1.0445588915688793</c:v>
                </c:pt>
                <c:pt idx="33">
                  <c:v>1.0440538010746485</c:v>
                </c:pt>
                <c:pt idx="34">
                  <c:v>1.0435492544121503</c:v>
                </c:pt>
                <c:pt idx="35">
                  <c:v>1.0430452506165606</c:v>
                </c:pt>
                <c:pt idx="36">
                  <c:v>1.042541788725301</c:v>
                </c:pt>
                <c:pt idx="37">
                  <c:v>1.042038867778027</c:v>
                </c:pt>
                <c:pt idx="38">
                  <c:v>1.041536486816625</c:v>
                </c:pt>
                <c:pt idx="39">
                  <c:v>1.0410346448852055</c:v>
                </c:pt>
                <c:pt idx="40">
                  <c:v>1.0405333410300974</c:v>
                </c:pt>
                <c:pt idx="41">
                  <c:v>1.0400325742998402</c:v>
                </c:pt>
                <c:pt idx="42">
                  <c:v>1.0395323437451813</c:v>
                </c:pt>
                <c:pt idx="43">
                  <c:v>1.0390326484190657</c:v>
                </c:pt>
                <c:pt idx="44">
                  <c:v>1.0385334873766345</c:v>
                </c:pt>
                <c:pt idx="45">
                  <c:v>1.0380348596752147</c:v>
                </c:pt>
                <c:pt idx="46">
                  <c:v>1.0375367643743172</c:v>
                </c:pt>
                <c:pt idx="47">
                  <c:v>1.0370392005356266</c:v>
                </c:pt>
                <c:pt idx="48">
                  <c:v>1.0365421672229991</c:v>
                </c:pt>
                <c:pt idx="49">
                  <c:v>1.0360456635024546</c:v>
                </c:pt>
                <c:pt idx="50">
                  <c:v>1.0355496884421718</c:v>
                </c:pt>
                <c:pt idx="51">
                  <c:v>1.0350542411124806</c:v>
                </c:pt>
                <c:pt idx="52">
                  <c:v>1.0345593205858579</c:v>
                </c:pt>
                <c:pt idx="53">
                  <c:v>1.0340649259369223</c:v>
                </c:pt>
                <c:pt idx="54">
                  <c:v>1.0335710562424261</c:v>
                </c:pt>
                <c:pt idx="55">
                  <c:v>1.0330777105812512</c:v>
                </c:pt>
                <c:pt idx="56">
                  <c:v>1.0325848880344026</c:v>
                </c:pt>
                <c:pt idx="57">
                  <c:v>1.0320925876850036</c:v>
                </c:pt>
                <c:pt idx="58">
                  <c:v>1.0316008086182888</c:v>
                </c:pt>
                <c:pt idx="59">
                  <c:v>1.0311095499215994</c:v>
                </c:pt>
                <c:pt idx="60">
                  <c:v>1.0306188106843766</c:v>
                </c:pt>
                <c:pt idx="61">
                  <c:v>1.0301285899981565</c:v>
                </c:pt>
                <c:pt idx="62">
                  <c:v>1.0296388869565651</c:v>
                </c:pt>
                <c:pt idx="63">
                  <c:v>1.0291497006553116</c:v>
                </c:pt>
                <c:pt idx="64">
                  <c:v>1.0286610301921819</c:v>
                </c:pt>
                <c:pt idx="65">
                  <c:v>1.0281728746670369</c:v>
                </c:pt>
                <c:pt idx="66">
                  <c:v>1.0276852331818027</c:v>
                </c:pt>
                <c:pt idx="67">
                  <c:v>1.0271981048404659</c:v>
                </c:pt>
                <c:pt idx="68">
                  <c:v>1.0267114887490703</c:v>
                </c:pt>
                <c:pt idx="69">
                  <c:v>1.0262253840157092</c:v>
                </c:pt>
                <c:pt idx="70">
                  <c:v>1.0257397897505209</c:v>
                </c:pt>
                <c:pt idx="71">
                  <c:v>1.0252547050656824</c:v>
                </c:pt>
                <c:pt idx="72">
                  <c:v>1.0247701290754052</c:v>
                </c:pt>
                <c:pt idx="73">
                  <c:v>1.0242860608959288</c:v>
                </c:pt>
                <c:pt idx="74">
                  <c:v>1.0238024996455148</c:v>
                </c:pt>
                <c:pt idx="75">
                  <c:v>1.0233194444444447</c:v>
                </c:pt>
                <c:pt idx="76">
                  <c:v>1.0228368944150088</c:v>
                </c:pt>
                <c:pt idx="77">
                  <c:v>1.0223548486815071</c:v>
                </c:pt>
                <c:pt idx="78">
                  <c:v>1.0218733063702397</c:v>
                </c:pt>
                <c:pt idx="79">
                  <c:v>1.0213922666095019</c:v>
                </c:pt>
                <c:pt idx="80">
                  <c:v>1.0209117285295817</c:v>
                </c:pt>
                <c:pt idx="81">
                  <c:v>1.0204316912627511</c:v>
                </c:pt>
                <c:pt idx="82">
                  <c:v>1.0199521539432637</c:v>
                </c:pt>
                <c:pt idx="83">
                  <c:v>1.0194731157073464</c:v>
                </c:pt>
                <c:pt idx="84">
                  <c:v>1.0189945756931964</c:v>
                </c:pt>
                <c:pt idx="85">
                  <c:v>1.0185165330409762</c:v>
                </c:pt>
                <c:pt idx="86">
                  <c:v>1.0180389868928064</c:v>
                </c:pt>
                <c:pt idx="87">
                  <c:v>1.0175619363927622</c:v>
                </c:pt>
                <c:pt idx="88">
                  <c:v>1.017085380686868</c:v>
                </c:pt>
                <c:pt idx="89">
                  <c:v>1.0166093189230911</c:v>
                </c:pt>
                <c:pt idx="90">
                  <c:v>1.0161337502513388</c:v>
                </c:pt>
                <c:pt idx="91">
                  <c:v>1.0156586738234501</c:v>
                </c:pt>
                <c:pt idx="92">
                  <c:v>1.0151840887931942</c:v>
                </c:pt>
                <c:pt idx="93">
                  <c:v>1.0147099943162621</c:v>
                </c:pt>
                <c:pt idx="94">
                  <c:v>1.0142363895502642</c:v>
                </c:pt>
                <c:pt idx="95">
                  <c:v>1.0137632736547231</c:v>
                </c:pt>
                <c:pt idx="96">
                  <c:v>1.0132906457910698</c:v>
                </c:pt>
                <c:pt idx="97">
                  <c:v>1.0128185051226397</c:v>
                </c:pt>
                <c:pt idx="98">
                  <c:v>1.0123468508146647</c:v>
                </c:pt>
                <c:pt idx="99">
                  <c:v>1.0118756820342705</c:v>
                </c:pt>
                <c:pt idx="100">
                  <c:v>1.0114049979504709</c:v>
                </c:pt>
                <c:pt idx="101">
                  <c:v>1.0109347977341629</c:v>
                </c:pt>
                <c:pt idx="102">
                  <c:v>1.0104650805581223</c:v>
                </c:pt>
                <c:pt idx="103">
                  <c:v>1.0099958455969973</c:v>
                </c:pt>
                <c:pt idx="104">
                  <c:v>1.0095270920273058</c:v>
                </c:pt>
                <c:pt idx="105">
                  <c:v>1.0090588190274272</c:v>
                </c:pt>
                <c:pt idx="106">
                  <c:v>1.0085910257776027</c:v>
                </c:pt>
                <c:pt idx="107">
                  <c:v>1.0081237114599251</c:v>
                </c:pt>
                <c:pt idx="108">
                  <c:v>1.007656875258337</c:v>
                </c:pt>
                <c:pt idx="109">
                  <c:v>1.0071905163586243</c:v>
                </c:pt>
                <c:pt idx="110">
                  <c:v>1.0067246339484144</c:v>
                </c:pt>
                <c:pt idx="111">
                  <c:v>1.0062592272171669</c:v>
                </c:pt>
                <c:pt idx="112">
                  <c:v>1.0057942953561732</c:v>
                </c:pt>
                <c:pt idx="113">
                  <c:v>1.005329837558548</c:v>
                </c:pt>
                <c:pt idx="114">
                  <c:v>1.0048658530192278</c:v>
                </c:pt>
                <c:pt idx="115">
                  <c:v>1.0044023409349643</c:v>
                </c:pt>
                <c:pt idx="116">
                  <c:v>1.00393930050432</c:v>
                </c:pt>
                <c:pt idx="117">
                  <c:v>1.0034767309276638</c:v>
                </c:pt>
                <c:pt idx="118">
                  <c:v>1.0030146314071651</c:v>
                </c:pt>
                <c:pt idx="119">
                  <c:v>1.0025530011467922</c:v>
                </c:pt>
                <c:pt idx="120">
                  <c:v>1.0020918393523037</c:v>
                </c:pt>
                <c:pt idx="121">
                  <c:v>1.001631145231247</c:v>
                </c:pt>
                <c:pt idx="122">
                  <c:v>1.0011709179929515</c:v>
                </c:pt>
                <c:pt idx="123">
                  <c:v>1.0007111568485263</c:v>
                </c:pt>
                <c:pt idx="124">
                  <c:v>1.0002518610108531</c:v>
                </c:pt>
                <c:pt idx="125">
                  <c:v>0.9997930296945835</c:v>
                </c:pt>
                <c:pt idx="126">
                  <c:v>0.99933466211613275</c:v>
                </c:pt>
                <c:pt idx="127">
                  <c:v>0.99887675749367766</c:v>
                </c:pt>
                <c:pt idx="128">
                  <c:v>0.99841931504714987</c:v>
                </c:pt>
                <c:pt idx="129">
                  <c:v>0.9979623339982322</c:v>
                </c:pt>
                <c:pt idx="130">
                  <c:v>0.99750581357035362</c:v>
                </c:pt>
                <c:pt idx="131">
                  <c:v>0.99704975298868559</c:v>
                </c:pt>
                <c:pt idx="132">
                  <c:v>0.99659415148013775</c:v>
                </c:pt>
                <c:pt idx="133">
                  <c:v>0.99613900827335233</c:v>
                </c:pt>
                <c:pt idx="134">
                  <c:v>0.99568432259869932</c:v>
                </c:pt>
                <c:pt idx="135">
                  <c:v>0.99523009368827497</c:v>
                </c:pt>
                <c:pt idx="136">
                  <c:v>0.99477632077589484</c:v>
                </c:pt>
                <c:pt idx="137">
                  <c:v>0.99432300309708921</c:v>
                </c:pt>
                <c:pt idx="138">
                  <c:v>0.99387013988909922</c:v>
                </c:pt>
                <c:pt idx="139">
                  <c:v>0.99341773039087466</c:v>
                </c:pt>
                <c:pt idx="140">
                  <c:v>0.99296577384306528</c:v>
                </c:pt>
                <c:pt idx="141">
                  <c:v>0.99251426948802202</c:v>
                </c:pt>
                <c:pt idx="142">
                  <c:v>0.99206321656978569</c:v>
                </c:pt>
                <c:pt idx="143">
                  <c:v>0.99161261433409031</c:v>
                </c:pt>
                <c:pt idx="144">
                  <c:v>0.99116246202835256</c:v>
                </c:pt>
                <c:pt idx="145">
                  <c:v>0.99071275890167043</c:v>
                </c:pt>
                <c:pt idx="146">
                  <c:v>0.99026350420481979</c:v>
                </c:pt>
                <c:pt idx="147">
                  <c:v>0.98981469719024706</c:v>
                </c:pt>
                <c:pt idx="148">
                  <c:v>0.98936633711206756</c:v>
                </c:pt>
                <c:pt idx="149">
                  <c:v>0.98891842322606094</c:v>
                </c:pt>
                <c:pt idx="150">
                  <c:v>0.98847095478966651</c:v>
                </c:pt>
              </c:numCache>
            </c:numRef>
          </c:yVal>
          <c:smooth val="1"/>
          <c:extLst>
            <c:ext xmlns:c16="http://schemas.microsoft.com/office/drawing/2014/chart" uri="{C3380CC4-5D6E-409C-BE32-E72D297353CC}">
              <c16:uniqueId val="{00000002-0B1C-42A1-BAB5-10FCC4361A6B}"/>
            </c:ext>
          </c:extLst>
        </c:ser>
        <c:ser>
          <c:idx val="3"/>
          <c:order val="3"/>
          <c:tx>
            <c:v>RCS</c:v>
          </c:tx>
          <c:spPr>
            <a:ln>
              <a:solidFill>
                <a:schemeClr val="accent5">
                  <a:lumMod val="75000"/>
                </a:schemeClr>
              </a:solidFill>
              <a:prstDash val="lgDashDot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Eff_vs_VIN!$AP$7:$AP$157</c:f>
              <c:numCache>
                <c:formatCode>General</c:formatCode>
                <c:ptCount val="151"/>
                <c:pt idx="0">
                  <c:v>0.40267813521003015</c:v>
                </c:pt>
                <c:pt idx="1">
                  <c:v>0.40221206763818934</c:v>
                </c:pt>
                <c:pt idx="2">
                  <c:v>0.40174680413206765</c:v>
                </c:pt>
                <c:pt idx="3">
                  <c:v>0.40128234282885988</c:v>
                </c:pt>
                <c:pt idx="4">
                  <c:v>0.4008186818711727</c:v>
                </c:pt>
                <c:pt idx="5">
                  <c:v>0.40035581940700637</c:v>
                </c:pt>
                <c:pt idx="6">
                  <c:v>0.39989375358973506</c:v>
                </c:pt>
                <c:pt idx="7">
                  <c:v>0.39943248257808972</c:v>
                </c:pt>
                <c:pt idx="8">
                  <c:v>0.39897200453613935</c:v>
                </c:pt>
                <c:pt idx="9">
                  <c:v>0.39851231763327105</c:v>
                </c:pt>
                <c:pt idx="10">
                  <c:v>0.39805342004417388</c:v>
                </c:pt>
                <c:pt idx="11">
                  <c:v>0.3975953099488187</c:v>
                </c:pt>
                <c:pt idx="12">
                  <c:v>0.39713798553244156</c:v>
                </c:pt>
                <c:pt idx="13">
                  <c:v>0.39668144498552399</c:v>
                </c:pt>
                <c:pt idx="14">
                  <c:v>0.39622568650377621</c:v>
                </c:pt>
                <c:pt idx="15">
                  <c:v>0.39577070828811872</c:v>
                </c:pt>
                <c:pt idx="16">
                  <c:v>0.3953165085446641</c:v>
                </c:pt>
                <c:pt idx="17">
                  <c:v>0.39486308548469978</c:v>
                </c:pt>
                <c:pt idx="18">
                  <c:v>0.39441043732466963</c:v>
                </c:pt>
                <c:pt idx="19">
                  <c:v>0.39395856228615678</c:v>
                </c:pt>
                <c:pt idx="20">
                  <c:v>0.39350745859586572</c:v>
                </c:pt>
                <c:pt idx="21">
                  <c:v>0.39305712448560481</c:v>
                </c:pt>
                <c:pt idx="22">
                  <c:v>0.39260755819226884</c:v>
                </c:pt>
                <c:pt idx="23">
                  <c:v>0.39215875795782135</c:v>
                </c:pt>
                <c:pt idx="24">
                  <c:v>0.39171072202927837</c:v>
                </c:pt>
                <c:pt idx="25">
                  <c:v>0.39126344865868917</c:v>
                </c:pt>
                <c:pt idx="26">
                  <c:v>0.3908169361031209</c:v>
                </c:pt>
                <c:pt idx="27">
                  <c:v>0.39037118262464077</c:v>
                </c:pt>
                <c:pt idx="28">
                  <c:v>0.38992618649029853</c:v>
                </c:pt>
                <c:pt idx="29">
                  <c:v>0.38948194597211039</c:v>
                </c:pt>
                <c:pt idx="30">
                  <c:v>0.3890384593470414</c:v>
                </c:pt>
                <c:pt idx="31">
                  <c:v>0.38859572489698863</c:v>
                </c:pt>
                <c:pt idx="32">
                  <c:v>0.38815374090876514</c:v>
                </c:pt>
                <c:pt idx="33">
                  <c:v>0.38771250567408183</c:v>
                </c:pt>
                <c:pt idx="34">
                  <c:v>0.38727201748953244</c:v>
                </c:pt>
                <c:pt idx="35">
                  <c:v>0.38683227465657527</c:v>
                </c:pt>
                <c:pt idx="36">
                  <c:v>0.38639327548151847</c:v>
                </c:pt>
                <c:pt idx="37">
                  <c:v>0.38595501827550166</c:v>
                </c:pt>
                <c:pt idx="38">
                  <c:v>0.38551750135448121</c:v>
                </c:pt>
                <c:pt idx="39">
                  <c:v>0.38508072303921287</c:v>
                </c:pt>
                <c:pt idx="40">
                  <c:v>0.38464468165523585</c:v>
                </c:pt>
                <c:pt idx="41">
                  <c:v>0.38420937553285661</c:v>
                </c:pt>
                <c:pt idx="42">
                  <c:v>0.38377480300713268</c:v>
                </c:pt>
                <c:pt idx="43">
                  <c:v>0.3833409624178562</c:v>
                </c:pt>
                <c:pt idx="44">
                  <c:v>0.38290785210953948</c:v>
                </c:pt>
                <c:pt idx="45">
                  <c:v>0.38247547043139618</c:v>
                </c:pt>
                <c:pt idx="46">
                  <c:v>0.38204381573732871</c:v>
                </c:pt>
                <c:pt idx="47">
                  <c:v>0.3816128863859099</c:v>
                </c:pt>
                <c:pt idx="48">
                  <c:v>0.38118268074036832</c:v>
                </c:pt>
                <c:pt idx="49">
                  <c:v>0.38075319716857237</c:v>
                </c:pt>
                <c:pt idx="50">
                  <c:v>0.38032443404301502</c:v>
                </c:pt>
                <c:pt idx="51">
                  <c:v>0.3798963897407977</c:v>
                </c:pt>
                <c:pt idx="52">
                  <c:v>0.37946906264361469</c:v>
                </c:pt>
                <c:pt idx="53">
                  <c:v>0.37904245113773866</c:v>
                </c:pt>
                <c:pt idx="54">
                  <c:v>0.37861655361400376</c:v>
                </c:pt>
                <c:pt idx="55">
                  <c:v>0.37819136846779194</c:v>
                </c:pt>
                <c:pt idx="56">
                  <c:v>0.3777668940990162</c:v>
                </c:pt>
                <c:pt idx="57">
                  <c:v>0.37734312891210631</c:v>
                </c:pt>
                <c:pt idx="58">
                  <c:v>0.37692007131599342</c:v>
                </c:pt>
                <c:pt idx="59">
                  <c:v>0.37649771972409507</c:v>
                </c:pt>
                <c:pt idx="60">
                  <c:v>0.37607607255429942</c:v>
                </c:pt>
                <c:pt idx="61">
                  <c:v>0.37565512822895142</c:v>
                </c:pt>
                <c:pt idx="62">
                  <c:v>0.37523488517483744</c:v>
                </c:pt>
                <c:pt idx="63">
                  <c:v>0.37481534182317</c:v>
                </c:pt>
                <c:pt idx="64">
                  <c:v>0.3743964966095733</c:v>
                </c:pt>
                <c:pt idx="65">
                  <c:v>0.37397834797406843</c:v>
                </c:pt>
                <c:pt idx="66">
                  <c:v>0.37356089436105921</c:v>
                </c:pt>
                <c:pt idx="67">
                  <c:v>0.37314413421931641</c:v>
                </c:pt>
                <c:pt idx="68">
                  <c:v>0.37272806600196451</c:v>
                </c:pt>
                <c:pt idx="69">
                  <c:v>0.37231268816646595</c:v>
                </c:pt>
                <c:pt idx="70">
                  <c:v>0.37189799917460759</c:v>
                </c:pt>
                <c:pt idx="71">
                  <c:v>0.37148399749248595</c:v>
                </c:pt>
                <c:pt idx="72">
                  <c:v>0.37107068159049278</c:v>
                </c:pt>
                <c:pt idx="73">
                  <c:v>0.37065804994330098</c:v>
                </c:pt>
                <c:pt idx="74">
                  <c:v>0.37024610102985039</c:v>
                </c:pt>
                <c:pt idx="75">
                  <c:v>0.36983483333333333</c:v>
                </c:pt>
                <c:pt idx="76">
                  <c:v>0.36942424534118057</c:v>
                </c:pt>
                <c:pt idx="77">
                  <c:v>0.36901433554504759</c:v>
                </c:pt>
                <c:pt idx="78">
                  <c:v>0.36860510244080014</c:v>
                </c:pt>
                <c:pt idx="79">
                  <c:v>0.36819654452850059</c:v>
                </c:pt>
                <c:pt idx="80">
                  <c:v>0.36778866031239377</c:v>
                </c:pt>
                <c:pt idx="81">
                  <c:v>0.36738144830089348</c:v>
                </c:pt>
                <c:pt idx="82">
                  <c:v>0.36697490700656799</c:v>
                </c:pt>
                <c:pt idx="83">
                  <c:v>0.36656903494612747</c:v>
                </c:pt>
                <c:pt idx="84">
                  <c:v>0.36616383064040886</c:v>
                </c:pt>
                <c:pt idx="85">
                  <c:v>0.36575929261436391</c:v>
                </c:pt>
                <c:pt idx="86">
                  <c:v>0.36535541939704363</c:v>
                </c:pt>
                <c:pt idx="87">
                  <c:v>0.36495220952158625</c:v>
                </c:pt>
                <c:pt idx="88">
                  <c:v>0.36454966152520374</c:v>
                </c:pt>
                <c:pt idx="89">
                  <c:v>0.36414777394916698</c:v>
                </c:pt>
                <c:pt idx="90">
                  <c:v>0.36374654533879419</c:v>
                </c:pt>
                <c:pt idx="91">
                  <c:v>0.36334597424343629</c:v>
                </c:pt>
                <c:pt idx="92">
                  <c:v>0.36294605921646422</c:v>
                </c:pt>
                <c:pt idx="93">
                  <c:v>0.36254679881525576</c:v>
                </c:pt>
                <c:pt idx="94">
                  <c:v>0.36214819160118167</c:v>
                </c:pt>
                <c:pt idx="95">
                  <c:v>0.36175023613959367</c:v>
                </c:pt>
                <c:pt idx="96">
                  <c:v>0.36135293099981036</c:v>
                </c:pt>
                <c:pt idx="97">
                  <c:v>0.36095627475510517</c:v>
                </c:pt>
                <c:pt idx="98">
                  <c:v>0.36056026598269197</c:v>
                </c:pt>
                <c:pt idx="99">
                  <c:v>0.36016490326371392</c:v>
                </c:pt>
                <c:pt idx="100">
                  <c:v>0.35977018518322923</c:v>
                </c:pt>
                <c:pt idx="101">
                  <c:v>0.35937611033019895</c:v>
                </c:pt>
                <c:pt idx="102">
                  <c:v>0.35898267729747402</c:v>
                </c:pt>
                <c:pt idx="103">
                  <c:v>0.35858988468178254</c:v>
                </c:pt>
                <c:pt idx="104">
                  <c:v>0.35819773108371744</c:v>
                </c:pt>
                <c:pt idx="105">
                  <c:v>0.35780621510772342</c:v>
                </c:pt>
                <c:pt idx="106">
                  <c:v>0.35741533536208409</c:v>
                </c:pt>
                <c:pt idx="107">
                  <c:v>0.35702509045891057</c:v>
                </c:pt>
                <c:pt idx="108">
                  <c:v>0.35663547901412779</c:v>
                </c:pt>
                <c:pt idx="109">
                  <c:v>0.35624649964746308</c:v>
                </c:pt>
                <c:pt idx="110">
                  <c:v>0.35585815098243251</c:v>
                </c:pt>
                <c:pt idx="111">
                  <c:v>0.35547043164633019</c:v>
                </c:pt>
                <c:pt idx="112">
                  <c:v>0.35508334027021465</c:v>
                </c:pt>
                <c:pt idx="113">
                  <c:v>0.35469687548889695</c:v>
                </c:pt>
                <c:pt idx="114">
                  <c:v>0.35431103594092878</c:v>
                </c:pt>
                <c:pt idx="115">
                  <c:v>0.35392582026859015</c:v>
                </c:pt>
                <c:pt idx="116">
                  <c:v>0.35354122711787722</c:v>
                </c:pt>
                <c:pt idx="117">
                  <c:v>0.35315725513849033</c:v>
                </c:pt>
                <c:pt idx="118">
                  <c:v>0.35277390298382155</c:v>
                </c:pt>
                <c:pt idx="119">
                  <c:v>0.3523911693109435</c:v>
                </c:pt>
                <c:pt idx="120">
                  <c:v>0.3520090527805968</c:v>
                </c:pt>
                <c:pt idx="121">
                  <c:v>0.35162755205717866</c:v>
                </c:pt>
                <c:pt idx="122">
                  <c:v>0.35124666580873048</c:v>
                </c:pt>
                <c:pt idx="123">
                  <c:v>0.35086639270692654</c:v>
                </c:pt>
                <c:pt idx="124">
                  <c:v>0.35048673142706199</c:v>
                </c:pt>
                <c:pt idx="125">
                  <c:v>0.35010768064804126</c:v>
                </c:pt>
                <c:pt idx="126">
                  <c:v>0.34972923905236675</c:v>
                </c:pt>
                <c:pt idx="127">
                  <c:v>0.3493514053261263</c:v>
                </c:pt>
                <c:pt idx="128">
                  <c:v>0.34897417815898257</c:v>
                </c:pt>
                <c:pt idx="129">
                  <c:v>0.348597556244161</c:v>
                </c:pt>
                <c:pt idx="130">
                  <c:v>0.34822153827843827</c:v>
                </c:pt>
                <c:pt idx="131">
                  <c:v>0.34784612296213174</c:v>
                </c:pt>
                <c:pt idx="132">
                  <c:v>0.3474713089990864</c:v>
                </c:pt>
                <c:pt idx="133">
                  <c:v>0.34709709509666553</c:v>
                </c:pt>
                <c:pt idx="134">
                  <c:v>0.34672347996573749</c:v>
                </c:pt>
                <c:pt idx="135">
                  <c:v>0.34635046232066552</c:v>
                </c:pt>
                <c:pt idx="136">
                  <c:v>0.34597804087929684</c:v>
                </c:pt>
                <c:pt idx="137">
                  <c:v>0.34560621436295047</c:v>
                </c:pt>
                <c:pt idx="138">
                  <c:v>0.34523498149640652</c:v>
                </c:pt>
                <c:pt idx="139">
                  <c:v>0.34486434100789543</c:v>
                </c:pt>
                <c:pt idx="140">
                  <c:v>0.34449429162908646</c:v>
                </c:pt>
                <c:pt idx="141">
                  <c:v>0.34412483209507677</c:v>
                </c:pt>
                <c:pt idx="142">
                  <c:v>0.34375596114438078</c:v>
                </c:pt>
                <c:pt idx="143">
                  <c:v>0.34338767751891891</c:v>
                </c:pt>
                <c:pt idx="144">
                  <c:v>0.34301997996400629</c:v>
                </c:pt>
                <c:pt idx="145">
                  <c:v>0.34265286722834315</c:v>
                </c:pt>
                <c:pt idx="146">
                  <c:v>0.34228633806400277</c:v>
                </c:pt>
                <c:pt idx="147">
                  <c:v>0.34192039122642109</c:v>
                </c:pt>
                <c:pt idx="148">
                  <c:v>0.34155502547438649</c:v>
                </c:pt>
                <c:pt idx="149">
                  <c:v>0.34119023957002809</c:v>
                </c:pt>
                <c:pt idx="150">
                  <c:v>0.34082603227880659</c:v>
                </c:pt>
              </c:numCache>
            </c:numRef>
          </c:yVal>
          <c:smooth val="1"/>
          <c:extLst>
            <c:ext xmlns:c16="http://schemas.microsoft.com/office/drawing/2014/chart" uri="{C3380CC4-5D6E-409C-BE32-E72D297353CC}">
              <c16:uniqueId val="{00000003-0B1C-42A1-BAB5-10FCC4361A6B}"/>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baseline="0"/>
                  <a:t>Input Voltage (V)</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Control_Loop_Tables!$AC$19:$AC$560</c:f>
              <c:numCache>
                <c:formatCode>0.000</c:formatCode>
                <c:ptCount val="542"/>
                <c:pt idx="0">
                  <c:v>22.739148601417035</c:v>
                </c:pt>
                <c:pt idx="1">
                  <c:v>22.738167240434883</c:v>
                </c:pt>
                <c:pt idx="2">
                  <c:v>22.737139867294669</c:v>
                </c:pt>
                <c:pt idx="3">
                  <c:v>22.736064336344501</c:v>
                </c:pt>
                <c:pt idx="4">
                  <c:v>22.734938402996004</c:v>
                </c:pt>
                <c:pt idx="5">
                  <c:v>22.733759719269486</c:v>
                </c:pt>
                <c:pt idx="6">
                  <c:v>22.732525829148805</c:v>
                </c:pt>
                <c:pt idx="7">
                  <c:v>22.731234163739952</c:v>
                </c:pt>
                <c:pt idx="8">
                  <c:v>22.729882036223042</c:v>
                </c:pt>
                <c:pt idx="9">
                  <c:v>22.728466636593989</c:v>
                </c:pt>
                <c:pt idx="10">
                  <c:v>22.726985026185538</c:v>
                </c:pt>
                <c:pt idx="11">
                  <c:v>22.725434131961077</c:v>
                </c:pt>
                <c:pt idx="12">
                  <c:v>22.723810740572805</c:v>
                </c:pt>
                <c:pt idx="13">
                  <c:v>22.722111492177323</c:v>
                </c:pt>
                <c:pt idx="14">
                  <c:v>22.720332873999006</c:v>
                </c:pt>
                <c:pt idx="15">
                  <c:v>22.718471213634366</c:v>
                </c:pt>
                <c:pt idx="16">
                  <c:v>22.716522672088765</c:v>
                </c:pt>
                <c:pt idx="17">
                  <c:v>22.714483236536704</c:v>
                </c:pt>
                <c:pt idx="18">
                  <c:v>22.712348712798342</c:v>
                </c:pt>
                <c:pt idx="19">
                  <c:v>22.710114717523716</c:v>
                </c:pt>
                <c:pt idx="20">
                  <c:v>22.707776670076175</c:v>
                </c:pt>
                <c:pt idx="21">
                  <c:v>22.70532978410753</c:v>
                </c:pt>
                <c:pt idx="22">
                  <c:v>22.702769058817466</c:v>
                </c:pt>
                <c:pt idx="23">
                  <c:v>22.700089269888196</c:v>
                </c:pt>
                <c:pt idx="24">
                  <c:v>22.697284960088354</c:v>
                </c:pt>
                <c:pt idx="25">
                  <c:v>22.69435042953922</c:v>
                </c:pt>
                <c:pt idx="26">
                  <c:v>22.691279725635376</c:v>
                </c:pt>
                <c:pt idx="27">
                  <c:v>22.688066632615115</c:v>
                </c:pt>
                <c:pt idx="28">
                  <c:v>22.68470466077418</c:v>
                </c:pt>
                <c:pt idx="29">
                  <c:v>22.681187035318704</c:v>
                </c:pt>
                <c:pt idx="30">
                  <c:v>22.677506684852492</c:v>
                </c:pt>
                <c:pt idx="31">
                  <c:v>22.673656229496562</c:v>
                </c:pt>
                <c:pt idx="32">
                  <c:v>22.669627968637009</c:v>
                </c:pt>
                <c:pt idx="33">
                  <c:v>22.66541386830275</c:v>
                </c:pt>
                <c:pt idx="34">
                  <c:v>22.661005548170436</c:v>
                </c:pt>
                <c:pt idx="35">
                  <c:v>22.656394268200586</c:v>
                </c:pt>
                <c:pt idx="36">
                  <c:v>22.651570914907225</c:v>
                </c:pt>
                <c:pt idx="37">
                  <c:v>22.646525987265903</c:v>
                </c:pt>
                <c:pt idx="38">
                  <c:v>22.641249582267562</c:v>
                </c:pt>
                <c:pt idx="39">
                  <c:v>22.635731380127755</c:v>
                </c:pt>
                <c:pt idx="40">
                  <c:v>22.629960629161388</c:v>
                </c:pt>
                <c:pt idx="41">
                  <c:v>22.623926130339438</c:v>
                </c:pt>
                <c:pt idx="42">
                  <c:v>22.617616221543035</c:v>
                </c:pt>
                <c:pt idx="43">
                  <c:v>22.611018761535444</c:v>
                </c:pt>
                <c:pt idx="44">
                  <c:v>22.604121113676264</c:v>
                </c:pt>
                <c:pt idx="45">
                  <c:v>22.596910129404748</c:v>
                </c:pt>
                <c:pt idx="46">
                  <c:v>22.589372131523248</c:v>
                </c:pt>
                <c:pt idx="47">
                  <c:v>22.581492897316977</c:v>
                </c:pt>
                <c:pt idx="48">
                  <c:v>22.573257641550214</c:v>
                </c:pt>
                <c:pt idx="49">
                  <c:v>22.564650999383687</c:v>
                </c:pt>
                <c:pt idx="50">
                  <c:v>22.555657009263975</c:v>
                </c:pt>
                <c:pt idx="51">
                  <c:v>22.546259095841357</c:v>
                </c:pt>
                <c:pt idx="52">
                  <c:v>22.536440052976616</c:v>
                </c:pt>
                <c:pt idx="53">
                  <c:v>22.526182026907662</c:v>
                </c:pt>
                <c:pt idx="54">
                  <c:v>22.515466499648106</c:v>
                </c:pt>
                <c:pt idx="55">
                  <c:v>22.504274272702052</c:v>
                </c:pt>
                <c:pt idx="56">
                  <c:v>22.492585451182293</c:v>
                </c:pt>
                <c:pt idx="57">
                  <c:v>22.480379428430766</c:v>
                </c:pt>
                <c:pt idx="58">
                  <c:v>22.467634871243625</c:v>
                </c:pt>
                <c:pt idx="59">
                  <c:v>22.454329705815098</c:v>
                </c:pt>
                <c:pt idx="60">
                  <c:v>22.440441104520303</c:v>
                </c:pt>
                <c:pt idx="61">
                  <c:v>22.4259454736662</c:v>
                </c:pt>
                <c:pt idx="62">
                  <c:v>22.41081844234855</c:v>
                </c:pt>
                <c:pt idx="63">
                  <c:v>22.395034852560613</c:v>
                </c:pt>
                <c:pt idx="64">
                  <c:v>22.378568750708151</c:v>
                </c:pt>
                <c:pt idx="65">
                  <c:v>22.361393380693826</c:v>
                </c:pt>
                <c:pt idx="66">
                  <c:v>22.343481178740458</c:v>
                </c:pt>
                <c:pt idx="67">
                  <c:v>22.324803770132455</c:v>
                </c:pt>
                <c:pt idx="68">
                  <c:v>22.305331968059431</c:v>
                </c:pt>
                <c:pt idx="69">
                  <c:v>22.285035774754064</c:v>
                </c:pt>
                <c:pt idx="70">
                  <c:v>22.263884385120676</c:v>
                </c:pt>
                <c:pt idx="71">
                  <c:v>22.241846193056251</c:v>
                </c:pt>
                <c:pt idx="72">
                  <c:v>22.218888800668005</c:v>
                </c:pt>
                <c:pt idx="73">
                  <c:v>22.194979030595</c:v>
                </c:pt>
                <c:pt idx="74">
                  <c:v>22.170082941640132</c:v>
                </c:pt>
                <c:pt idx="75">
                  <c:v>22.144165847917954</c:v>
                </c:pt>
                <c:pt idx="76">
                  <c:v>22.117192341721527</c:v>
                </c:pt>
                <c:pt idx="77">
                  <c:v>22.089126320303684</c:v>
                </c:pt>
                <c:pt idx="78">
                  <c:v>22.059931016762</c:v>
                </c:pt>
                <c:pt idx="79">
                  <c:v>22.029569035205352</c:v>
                </c:pt>
                <c:pt idx="80">
                  <c:v>21.998002390366072</c:v>
                </c:pt>
                <c:pt idx="81">
                  <c:v>21.965192551806144</c:v>
                </c:pt>
                <c:pt idx="82">
                  <c:v>21.931100492845488</c:v>
                </c:pt>
                <c:pt idx="83">
                  <c:v>21.895686744318148</c:v>
                </c:pt>
                <c:pt idx="84">
                  <c:v>21.858911453234633</c:v>
                </c:pt>
                <c:pt idx="85">
                  <c:v>21.820734446401424</c:v>
                </c:pt>
                <c:pt idx="86">
                  <c:v>21.78111529901205</c:v>
                </c:pt>
                <c:pt idx="87">
                  <c:v>21.740013408191668</c:v>
                </c:pt>
                <c:pt idx="88">
                  <c:v>21.697388071433149</c:v>
                </c:pt>
                <c:pt idx="89">
                  <c:v>21.653198569823807</c:v>
                </c:pt>
                <c:pt idx="90">
                  <c:v>21.607404255912904</c:v>
                </c:pt>
                <c:pt idx="91">
                  <c:v>21.559964646024451</c:v>
                </c:pt>
                <c:pt idx="92">
                  <c:v>21.510839516768556</c:v>
                </c:pt>
                <c:pt idx="93">
                  <c:v>21.459989005452375</c:v>
                </c:pt>
                <c:pt idx="94">
                  <c:v>21.407373714039828</c:v>
                </c:pt>
                <c:pt idx="95">
                  <c:v>21.35295481625695</c:v>
                </c:pt>
                <c:pt idx="96">
                  <c:v>21.296694167384196</c:v>
                </c:pt>
                <c:pt idx="97">
                  <c:v>21.238554416229313</c:v>
                </c:pt>
                <c:pt idx="98">
                  <c:v>21.178499118721827</c:v>
                </c:pt>
                <c:pt idx="99">
                  <c:v>21.116492852525145</c:v>
                </c:pt>
                <c:pt idx="100">
                  <c:v>21.052501332019709</c:v>
                </c:pt>
                <c:pt idx="101">
                  <c:v>20.986491522971399</c:v>
                </c:pt>
                <c:pt idx="102">
                  <c:v>20.918431756167848</c:v>
                </c:pt>
                <c:pt idx="103">
                  <c:v>20.848291839279245</c:v>
                </c:pt>
                <c:pt idx="104">
                  <c:v>20.776043166181136</c:v>
                </c:pt>
                <c:pt idx="105">
                  <c:v>20.701658822965676</c:v>
                </c:pt>
                <c:pt idx="106">
                  <c:v>20.625113689867113</c:v>
                </c:pt>
                <c:pt idx="107">
                  <c:v>20.546384538331552</c:v>
                </c:pt>
                <c:pt idx="108">
                  <c:v>20.465450122479862</c:v>
                </c:pt>
                <c:pt idx="109">
                  <c:v>20.382291264236876</c:v>
                </c:pt>
                <c:pt idx="110">
                  <c:v>20.296890931435616</c:v>
                </c:pt>
                <c:pt idx="111">
                  <c:v>20.209234308251077</c:v>
                </c:pt>
                <c:pt idx="112">
                  <c:v>20.11930885737064</c:v>
                </c:pt>
                <c:pt idx="113">
                  <c:v>20.027104373371117</c:v>
                </c:pt>
                <c:pt idx="114">
                  <c:v>19.932613026842741</c:v>
                </c:pt>
                <c:pt idx="115">
                  <c:v>19.835829398876879</c:v>
                </c:pt>
                <c:pt idx="116">
                  <c:v>19.736750505616865</c:v>
                </c:pt>
                <c:pt idx="117">
                  <c:v>19.635375812659269</c:v>
                </c:pt>
                <c:pt idx="118">
                  <c:v>19.53170723918192</c:v>
                </c:pt>
                <c:pt idx="119">
                  <c:v>19.425749151769661</c:v>
                </c:pt>
                <c:pt idx="120">
                  <c:v>19.317508347999318</c:v>
                </c:pt>
                <c:pt idx="121">
                  <c:v>19.206994029939061</c:v>
                </c:pt>
                <c:pt idx="122">
                  <c:v>19.094217767806374</c:v>
                </c:pt>
                <c:pt idx="123">
                  <c:v>18.979193454114231</c:v>
                </c:pt>
                <c:pt idx="124">
                  <c:v>18.861937248716917</c:v>
                </c:pt>
                <c:pt idx="125">
                  <c:v>18.742467515241742</c:v>
                </c:pt>
                <c:pt idx="126">
                  <c:v>18.620804749458667</c:v>
                </c:pt>
                <c:pt idx="127">
                  <c:v>18.496971500203237</c:v>
                </c:pt>
                <c:pt idx="128">
                  <c:v>18.370992283515537</c:v>
                </c:pt>
                <c:pt idx="129">
                  <c:v>18.242893490701594</c:v>
                </c:pt>
                <c:pt idx="130">
                  <c:v>18.112703291056569</c:v>
                </c:pt>
                <c:pt idx="131">
                  <c:v>17.980451530010274</c:v>
                </c:pt>
                <c:pt idx="132">
                  <c:v>17.846169623469649</c:v>
                </c:pt>
                <c:pt idx="133">
                  <c:v>17.709890449137657</c:v>
                </c:pt>
                <c:pt idx="134">
                  <c:v>17.571648235581304</c:v>
                </c:pt>
                <c:pt idx="135">
                  <c:v>17.431478449809223</c:v>
                </c:pt>
                <c:pt idx="136">
                  <c:v>17.289417684098932</c:v>
                </c:pt>
                <c:pt idx="137">
                  <c:v>17.145503542782908</c:v>
                </c:pt>
                <c:pt idx="138">
                  <c:v>16.999774529673353</c:v>
                </c:pt>
                <c:pt idx="139">
                  <c:v>16.852269936759143</c:v>
                </c:pt>
                <c:pt idx="140">
                  <c:v>16.703029734771782</c:v>
                </c:pt>
                <c:pt idx="141">
                  <c:v>16.552094466163933</c:v>
                </c:pt>
                <c:pt idx="142">
                  <c:v>16.399505140996517</c:v>
                </c:pt>
                <c:pt idx="143">
                  <c:v>16.245303136179043</c:v>
                </c:pt>
                <c:pt idx="144">
                  <c:v>16.089530098453604</c:v>
                </c:pt>
                <c:pt idx="145">
                  <c:v>15.932227851460434</c:v>
                </c:pt>
                <c:pt idx="146">
                  <c:v>15.773438307171791</c:v>
                </c:pt>
                <c:pt idx="147">
                  <c:v>15.613203381927343</c:v>
                </c:pt>
                <c:pt idx="148">
                  <c:v>15.451564917258235</c:v>
                </c:pt>
                <c:pt idx="149">
                  <c:v>15.288564605635859</c:v>
                </c:pt>
                <c:pt idx="150">
                  <c:v>15.124243921240343</c:v>
                </c:pt>
                <c:pt idx="151">
                  <c:v>14.958644055798768</c:v>
                </c:pt>
                <c:pt idx="152">
                  <c:v>14.791805859508314</c:v>
                </c:pt>
                <c:pt idx="153">
                  <c:v>14.623769787019398</c:v>
                </c:pt>
                <c:pt idx="154">
                  <c:v>14.454575848427623</c:v>
                </c:pt>
                <c:pt idx="155">
                  <c:v>14.284263565189512</c:v>
                </c:pt>
                <c:pt idx="156">
                  <c:v>14.112871930856155</c:v>
                </c:pt>
                <c:pt idx="157">
                  <c:v>13.940439376494121</c:v>
                </c:pt>
                <c:pt idx="158">
                  <c:v>13.767003740646718</c:v>
                </c:pt>
                <c:pt idx="159">
                  <c:v>13.592602243673069</c:v>
                </c:pt>
                <c:pt idx="160">
                  <c:v>13.417271466287225</c:v>
                </c:pt>
                <c:pt idx="161">
                  <c:v>13.241047332115334</c:v>
                </c:pt>
                <c:pt idx="162">
                  <c:v>13.06396509407551</c:v>
                </c:pt>
                <c:pt idx="163">
                  <c:v>12.886059324385696</c:v>
                </c:pt>
                <c:pt idx="164">
                  <c:v>12.707363907998616</c:v>
                </c:pt>
                <c:pt idx="165">
                  <c:v>12.527912039264049</c:v>
                </c:pt>
                <c:pt idx="166">
                  <c:v>12.347736221619154</c:v>
                </c:pt>
                <c:pt idx="167">
                  <c:v>12.16686827010877</c:v>
                </c:pt>
                <c:pt idx="168">
                  <c:v>11.985339316545097</c:v>
                </c:pt>
                <c:pt idx="169">
                  <c:v>11.80317981711614</c:v>
                </c:pt>
                <c:pt idx="170">
                  <c:v>11.620419562261461</c:v>
                </c:pt>
                <c:pt idx="171">
                  <c:v>11.43708768864059</c:v>
                </c:pt>
                <c:pt idx="172">
                  <c:v>11.253212693023087</c:v>
                </c:pt>
                <c:pt idx="173">
                  <c:v>11.068822447941852</c:v>
                </c:pt>
                <c:pt idx="174">
                  <c:v>10.883944218954388</c:v>
                </c:pt>
                <c:pt idx="175">
                  <c:v>10.698604683368655</c:v>
                </c:pt>
                <c:pt idx="176">
                  <c:v>10.51282995029638</c:v>
                </c:pt>
                <c:pt idx="177">
                  <c:v>10.326645581904554</c:v>
                </c:pt>
                <c:pt idx="178">
                  <c:v>10.140076615746622</c:v>
                </c:pt>
                <c:pt idx="179">
                  <c:v>9.9531475880595046</c:v>
                </c:pt>
                <c:pt idx="180">
                  <c:v>9.7658825579228132</c:v>
                </c:pt>
                <c:pt idx="181">
                  <c:v>9.5783051321831785</c:v>
                </c:pt>
                <c:pt idx="182">
                  <c:v>9.3904384910543772</c:v>
                </c:pt>
                <c:pt idx="183">
                  <c:v>9.2023054143098868</c:v>
                </c:pt>
                <c:pt idx="184">
                  <c:v>9.0139283079918826</c:v>
                </c:pt>
                <c:pt idx="185">
                  <c:v>8.8253292315665721</c:v>
                </c:pt>
                <c:pt idx="186">
                  <c:v>8.6365299254609589</c:v>
                </c:pt>
                <c:pt idx="187">
                  <c:v>8.4475518389214947</c:v>
                </c:pt>
                <c:pt idx="188">
                  <c:v>8.2584161581408075</c:v>
                </c:pt>
                <c:pt idx="189">
                  <c:v>8.0691438346003217</c:v>
                </c:pt>
                <c:pt idx="190">
                  <c:v>7.8797556135840319</c:v>
                </c:pt>
                <c:pt idx="191">
                  <c:v>7.6902720628182095</c:v>
                </c:pt>
                <c:pt idx="192">
                  <c:v>7.5007136011971189</c:v>
                </c:pt>
                <c:pt idx="193">
                  <c:v>7.3111005275565883</c:v>
                </c:pt>
                <c:pt idx="194">
                  <c:v>7.1214530494575756</c:v>
                </c:pt>
                <c:pt idx="195">
                  <c:v>6.9317913119456307</c:v>
                </c:pt>
                <c:pt idx="196">
                  <c:v>6.7421354262499271</c:v>
                </c:pt>
                <c:pt idx="197">
                  <c:v>6.5525054983892996</c:v>
                </c:pt>
                <c:pt idx="198">
                  <c:v>6.362921657648581</c:v>
                </c:pt>
                <c:pt idx="199">
                  <c:v>6.1734040848910379</c:v>
                </c:pt>
                <c:pt idx="200">
                  <c:v>5.9839730406697642</c:v>
                </c:pt>
                <c:pt idx="201">
                  <c:v>5.7946488930988549</c:v>
                </c:pt>
                <c:pt idx="202">
                  <c:v>5.6054521454445885</c:v>
                </c:pt>
                <c:pt idx="203">
                  <c:v>5.4164034633925002</c:v>
                </c:pt>
                <c:pt idx="204">
                  <c:v>5.2275237019429763</c:v>
                </c:pt>
                <c:pt idx="205">
                  <c:v>5.0388339318858879</c:v>
                </c:pt>
                <c:pt idx="206">
                  <c:v>4.8503554657985823</c:v>
                </c:pt>
                <c:pt idx="207">
                  <c:v>4.6621098835078181</c:v>
                </c:pt>
                <c:pt idx="208">
                  <c:v>4.4741190569517233</c:v>
                </c:pt>
                <c:pt idx="209">
                  <c:v>4.2864051743702367</c:v>
                </c:pt>
                <c:pt idx="210">
                  <c:v>4.0989907637490601</c:v>
                </c:pt>
                <c:pt idx="211">
                  <c:v>3.9118987154335265</c:v>
                </c:pt>
                <c:pt idx="212">
                  <c:v>3.7251523038231986</c:v>
                </c:pt>
                <c:pt idx="213">
                  <c:v>3.5387752080499961</c:v>
                </c:pt>
                <c:pt idx="214">
                  <c:v>3.3527915315371972</c:v>
                </c:pt>
                <c:pt idx="215">
                  <c:v>3.1672258203250236</c:v>
                </c:pt>
                <c:pt idx="216">
                  <c:v>2.9821030800453268</c:v>
                </c:pt>
                <c:pt idx="217">
                  <c:v>2.7974487914161172</c:v>
                </c:pt>
                <c:pt idx="218">
                  <c:v>2.6132889241202832</c:v>
                </c:pt>
                <c:pt idx="219">
                  <c:v>2.4296499489248444</c:v>
                </c:pt>
                <c:pt idx="220">
                  <c:v>2.2465588478878358</c:v>
                </c:pt>
                <c:pt idx="221">
                  <c:v>2.0640431224929947</c:v>
                </c:pt>
                <c:pt idx="222">
                  <c:v>1.8821307995458203</c:v>
                </c:pt>
                <c:pt idx="223">
                  <c:v>1.7008504346552544</c:v>
                </c:pt>
                <c:pt idx="224">
                  <c:v>1.5202311131209647</c:v>
                </c:pt>
                <c:pt idx="225">
                  <c:v>1.3403024480404899</c:v>
                </c:pt>
                <c:pt idx="226">
                  <c:v>1.1610945754426263</c:v>
                </c:pt>
                <c:pt idx="227">
                  <c:v>0.98263814625625734</c:v>
                </c:pt>
                <c:pt idx="228">
                  <c:v>0.80496431491464404</c:v>
                </c:pt>
                <c:pt idx="229">
                  <c:v>0.62810472439835352</c:v>
                </c:pt>
                <c:pt idx="230">
                  <c:v>0.45209148752159312</c:v>
                </c:pt>
                <c:pt idx="231">
                  <c:v>0.2769571642661306</c:v>
                </c:pt>
                <c:pt idx="232">
                  <c:v>0.10273473497710742</c:v>
                </c:pt>
                <c:pt idx="233">
                  <c:v>-7.0542430763458522E-2</c:v>
                </c:pt>
                <c:pt idx="234">
                  <c:v>-0.24284060975332256</c:v>
                </c:pt>
                <c:pt idx="235">
                  <c:v>-0.41412576543553503</c:v>
                </c:pt>
                <c:pt idx="236">
                  <c:v>-0.58436359295554319</c:v>
                </c:pt>
                <c:pt idx="237">
                  <c:v>-0.75351956913081508</c:v>
                </c:pt>
                <c:pt idx="238">
                  <c:v>-0.9215590074331198</c:v>
                </c:pt>
                <c:pt idx="239">
                  <c:v>-1.0884471180580748</c:v>
                </c:pt>
                <c:pt idx="240">
                  <c:v>-1.2541490731245961</c:v>
                </c:pt>
                <c:pt idx="241">
                  <c:v>-1.4186300770161879</c:v>
                </c:pt>
                <c:pt idx="242">
                  <c:v>-1.5818554418362991</c:v>
                </c:pt>
                <c:pt idx="243">
                  <c:v>-1.7437906679121438</c:v>
                </c:pt>
                <c:pt idx="244">
                  <c:v>-1.9044015292355363</c:v>
                </c:pt>
                <c:pt idx="245">
                  <c:v>-2.0636541636827719</c:v>
                </c:pt>
                <c:pt idx="246">
                  <c:v>-2.2215151678055953</c:v>
                </c:pt>
                <c:pt idx="247">
                  <c:v>-2.3779516959329801</c:v>
                </c:pt>
                <c:pt idx="248">
                  <c:v>-2.5329315632662555</c:v>
                </c:pt>
                <c:pt idx="249">
                  <c:v>-2.6864233525979362</c:v>
                </c:pt>
                <c:pt idx="250">
                  <c:v>-2.8383965242231297</c:v>
                </c:pt>
                <c:pt idx="251">
                  <c:v>-2.9888215285562008</c:v>
                </c:pt>
                <c:pt idx="252">
                  <c:v>-3.1376699209083494</c:v>
                </c:pt>
                <c:pt idx="253">
                  <c:v>-3.2849144778247013</c:v>
                </c:pt>
                <c:pt idx="254">
                  <c:v>-3.4305293143263738</c:v>
                </c:pt>
                <c:pt idx="255">
                  <c:v>-3.5744900013508696</c:v>
                </c:pt>
                <c:pt idx="256">
                  <c:v>-3.7167736826373758</c:v>
                </c:pt>
                <c:pt idx="257">
                  <c:v>-3.8573591902626521</c:v>
                </c:pt>
                <c:pt idx="258">
                  <c:v>-3.9962271579940478</c:v>
                </c:pt>
                <c:pt idx="259">
                  <c:v>-4.1333601315988595</c:v>
                </c:pt>
                <c:pt idx="260">
                  <c:v>-4.2687426752257505</c:v>
                </c:pt>
                <c:pt idx="261">
                  <c:v>-4.402361472959905</c:v>
                </c:pt>
                <c:pt idx="262">
                  <c:v>-4.5342054246484782</c:v>
                </c:pt>
                <c:pt idx="263">
                  <c:v>-4.6642657350977501</c:v>
                </c:pt>
                <c:pt idx="264">
                  <c:v>-4.7925359957557614</c:v>
                </c:pt>
                <c:pt idx="265">
                  <c:v>-4.9190122580192739</c:v>
                </c:pt>
                <c:pt idx="266">
                  <c:v>-5.0436930973377594</c:v>
                </c:pt>
                <c:pt idx="267">
                  <c:v>-5.1665796673300823</c:v>
                </c:pt>
                <c:pt idx="268">
                  <c:v>-5.2876757431835983</c:v>
                </c:pt>
                <c:pt idx="269">
                  <c:v>-5.4069877536670772</c:v>
                </c:pt>
                <c:pt idx="270">
                  <c:v>-5.5245248011612489</c:v>
                </c:pt>
                <c:pt idx="271">
                  <c:v>-5.6402986691873522</c:v>
                </c:pt>
                <c:pt idx="272">
                  <c:v>-5.7543238170008308</c:v>
                </c:pt>
                <c:pt idx="273">
                  <c:v>-5.866617360908446</c:v>
                </c:pt>
                <c:pt idx="274">
                  <c:v>-5.9771990420615975</c:v>
                </c:pt>
                <c:pt idx="275">
                  <c:v>-6.0860911805791309</c:v>
                </c:pt>
                <c:pt idx="276">
                  <c:v>-6.1933186159530651</c:v>
                </c:pt>
                <c:pt idx="277">
                  <c:v>-6.2989086337937774</c:v>
                </c:pt>
                <c:pt idx="278">
                  <c:v>-6.4028908790725776</c:v>
                </c:pt>
                <c:pt idx="279">
                  <c:v>-6.5052972561206932</c:v>
                </c:pt>
                <c:pt idx="280">
                  <c:v>-6.6061618157424267</c:v>
                </c:pt>
                <c:pt idx="281">
                  <c:v>-6.7055206298943677</c:v>
                </c:pt>
                <c:pt idx="282">
                  <c:v>-6.8034116544739875</c:v>
                </c:pt>
                <c:pt idx="283">
                  <c:v>-6.8998745808477864</c:v>
                </c:pt>
                <c:pt idx="284">
                  <c:v>-6.9949506768284211</c:v>
                </c:pt>
                <c:pt idx="285">
                  <c:v>-7.0886826178862341</c:v>
                </c:pt>
                <c:pt idx="286">
                  <c:v>-7.1811143094497956</c:v>
                </c:pt>
                <c:pt idx="287">
                  <c:v>-7.2722907012114426</c:v>
                </c:pt>
                <c:pt idx="288">
                  <c:v>-7.3622575944116893</c:v>
                </c:pt>
                <c:pt idx="289">
                  <c:v>-7.451061443125818</c:v>
                </c:pt>
                <c:pt idx="290">
                  <c:v>-7.5387491506202098</c:v>
                </c:pt>
                <c:pt idx="291">
                  <c:v>-7.6253678618842002</c:v>
                </c:pt>
                <c:pt idx="292">
                  <c:v>-7.7109647534755084</c:v>
                </c:pt>
                <c:pt idx="293">
                  <c:v>-7.7955868218438944</c:v>
                </c:pt>
                <c:pt idx="294">
                  <c:v>-7.8792806713197328</c:v>
                </c:pt>
                <c:pt idx="295">
                  <c:v>-7.9620923029683262</c:v>
                </c:pt>
                <c:pt idx="296">
                  <c:v>-8.0440669055230565</c:v>
                </c:pt>
                <c:pt idx="297">
                  <c:v>-8.1252486496145959</c:v>
                </c:pt>
                <c:pt idx="298">
                  <c:v>-8.2056804865126196</c:v>
                </c:pt>
                <c:pt idx="299">
                  <c:v>-8.2854039525910217</c:v>
                </c:pt>
                <c:pt idx="300">
                  <c:v>-8.3644589807144225</c:v>
                </c:pt>
                <c:pt idx="301">
                  <c:v>-8.4428837197251632</c:v>
                </c:pt>
                <c:pt idx="302">
                  <c:v>-8.5207143631845987</c:v>
                </c:pt>
                <c:pt idx="303">
                  <c:v>-8.5979849884891877</c:v>
                </c:pt>
                <c:pt idx="304">
                  <c:v>-8.6747274074400185</c:v>
                </c:pt>
                <c:pt idx="305">
                  <c:v>-8.75097102929724</c:v>
                </c:pt>
                <c:pt idx="306">
                  <c:v>-8.8267427372898428</c:v>
                </c:pt>
                <c:pt idx="307">
                  <c:v>-8.902066779486729</c:v>
                </c:pt>
                <c:pt idx="308">
                  <c:v>-8.9769646748564629</c:v>
                </c:pt>
                <c:pt idx="309">
                  <c:v>-9.0514551352569779</c:v>
                </c:pt>
                <c:pt idx="310">
                  <c:v>-9.1255540040013408</c:v>
                </c:pt>
                <c:pt idx="311">
                  <c:v>-9.1992742115393362</c:v>
                </c:pt>
                <c:pt idx="312">
                  <c:v>-9.2726257486810653</c:v>
                </c:pt>
                <c:pt idx="313">
                  <c:v>-9.3456156576646361</c:v>
                </c:pt>
                <c:pt idx="314">
                  <c:v>-9.4182480412411138</c:v>
                </c:pt>
                <c:pt idx="315">
                  <c:v>-9.4905240898119345</c:v>
                </c:pt>
                <c:pt idx="316">
                  <c:v>-9.5624421265112236</c:v>
                </c:pt>
                <c:pt idx="317">
                  <c:v>-9.6339976699805057</c:v>
                </c:pt>
                <c:pt idx="318">
                  <c:v>-9.7051835144340544</c:v>
                </c:pt>
                <c:pt idx="319">
                  <c:v>-9.7759898264632898</c:v>
                </c:pt>
                <c:pt idx="320">
                  <c:v>-9.8464042578851103</c:v>
                </c:pt>
                <c:pt idx="321">
                  <c:v>-9.9164120737897914</c:v>
                </c:pt>
                <c:pt idx="322">
                  <c:v>-9.9859962948115566</c:v>
                </c:pt>
                <c:pt idx="323">
                  <c:v>-10.055137852509407</c:v>
                </c:pt>
                <c:pt idx="324">
                  <c:v>-10.123815756630389</c:v>
                </c:pt>
                <c:pt idx="325">
                  <c:v>-10.192007272913417</c:v>
                </c:pt>
                <c:pt idx="326">
                  <c:v>-10.259688109998974</c:v>
                </c:pt>
                <c:pt idx="327">
                  <c:v>-10.326832613928683</c:v>
                </c:pt>
                <c:pt idx="328">
                  <c:v>-10.393413968654837</c:v>
                </c:pt>
                <c:pt idx="329">
                  <c:v>-10.459404400931803</c:v>
                </c:pt>
                <c:pt idx="330">
                  <c:v>-10.52477538793479</c:v>
                </c:pt>
                <c:pt idx="331">
                  <c:v>-10.589497865940396</c:v>
                </c:pt>
                <c:pt idx="332">
                  <c:v>-10.653542438414927</c:v>
                </c:pt>
                <c:pt idx="333">
                  <c:v>-10.716879581883054</c:v>
                </c:pt>
                <c:pt idx="334">
                  <c:v>-10.77947984799852</c:v>
                </c:pt>
                <c:pt idx="335">
                  <c:v>-10.841314060303313</c:v>
                </c:pt>
                <c:pt idx="336">
                  <c:v>-10.902353504243267</c:v>
                </c:pt>
                <c:pt idx="337">
                  <c:v>-10.962570109106446</c:v>
                </c:pt>
                <c:pt idx="338">
                  <c:v>-11.021936620660602</c:v>
                </c:pt>
                <c:pt idx="339">
                  <c:v>-11.080426763390969</c:v>
                </c:pt>
                <c:pt idx="340">
                  <c:v>-11.138015391371333</c:v>
                </c:pt>
                <c:pt idx="341">
                  <c:v>-11.194678626943507</c:v>
                </c:pt>
                <c:pt idx="342">
                  <c:v>-11.250393986526024</c:v>
                </c:pt>
                <c:pt idx="343">
                  <c:v>-11.305140493023995</c:v>
                </c:pt>
                <c:pt idx="344">
                  <c:v>-11.35889877446305</c:v>
                </c:pt>
                <c:pt idx="345">
                  <c:v>-11.411651148617922</c:v>
                </c:pt>
                <c:pt idx="346">
                  <c:v>-11.463381693558308</c:v>
                </c:pt>
                <c:pt idx="347">
                  <c:v>-11.514076304168404</c:v>
                </c:pt>
                <c:pt idx="348">
                  <c:v>-11.563722734838427</c:v>
                </c:pt>
                <c:pt idx="349">
                  <c:v>-11.612310628646727</c:v>
                </c:pt>
                <c:pt idx="350">
                  <c:v>-11.659831533468932</c:v>
                </c:pt>
                <c:pt idx="351">
                  <c:v>-11.706278905554573</c:v>
                </c:pt>
                <c:pt idx="352">
                  <c:v>-11.751648101203367</c:v>
                </c:pt>
                <c:pt idx="353">
                  <c:v>-11.795936357252517</c:v>
                </c:pt>
                <c:pt idx="354">
                  <c:v>-11.839142761154516</c:v>
                </c:pt>
                <c:pt idx="355">
                  <c:v>-11.881268211474625</c:v>
                </c:pt>
                <c:pt idx="356">
                  <c:v>-11.922315369679943</c:v>
                </c:pt>
                <c:pt idx="357">
                  <c:v>-11.962288604118163</c:v>
                </c:pt>
                <c:pt idx="358">
                  <c:v>-12.001193927098011</c:v>
                </c:pt>
                <c:pt idx="359">
                  <c:v>-12.03903892598767</c:v>
                </c:pt>
                <c:pt idx="360">
                  <c:v>-12.075832689239368</c:v>
                </c:pt>
                <c:pt idx="361">
                  <c:v>-12.111585728230594</c:v>
                </c:pt>
                <c:pt idx="362">
                  <c:v>-12.146309895787235</c:v>
                </c:pt>
                <c:pt idx="363">
                  <c:v>-12.180018302218903</c:v>
                </c:pt>
                <c:pt idx="364">
                  <c:v>-12.212725229657122</c:v>
                </c:pt>
                <c:pt idx="365">
                  <c:v>-12.244446045441176</c:v>
                </c:pt>
                <c:pt idx="366">
                  <c:v>-12.275197115245593</c:v>
                </c:pt>
                <c:pt idx="367">
                  <c:v>-12.304995716591673</c:v>
                </c:pt>
                <c:pt idx="368">
                  <c:v>-12.333859953326773</c:v>
                </c:pt>
                <c:pt idx="369">
                  <c:v>-12.361808671603002</c:v>
                </c:pt>
                <c:pt idx="370">
                  <c:v>-12.388861377824368</c:v>
                </c:pt>
                <c:pt idx="371">
                  <c:v>-12.415038158979064</c:v>
                </c:pt>
                <c:pt idx="372">
                  <c:v>-12.440359605716758</c:v>
                </c:pt>
                <c:pt idx="373">
                  <c:v>-12.464846738474131</c:v>
                </c:pt>
                <c:pt idx="374">
                  <c:v>-12.488520936905768</c:v>
                </c:pt>
                <c:pt idx="375">
                  <c:v>-12.511403872822001</c:v>
                </c:pt>
                <c:pt idx="376">
                  <c:v>-12.533517446794775</c:v>
                </c:pt>
                <c:pt idx="377">
                  <c:v>-12.554883728546621</c:v>
                </c:pt>
                <c:pt idx="378">
                  <c:v>-12.575524901198422</c:v>
                </c:pt>
                <c:pt idx="379">
                  <c:v>-12.595463209417819</c:v>
                </c:pt>
                <c:pt idx="380">
                  <c:v>-12.614720911474489</c:v>
                </c:pt>
                <c:pt idx="381">
                  <c:v>-12.633320235182662</c:v>
                </c:pt>
                <c:pt idx="382">
                  <c:v>-12.651283337682491</c:v>
                </c:pt>
                <c:pt idx="383">
                  <c:v>-12.668632268992518</c:v>
                </c:pt>
                <c:pt idx="384">
                  <c:v>-12.685388939245231</c:v>
                </c:pt>
                <c:pt idx="385">
                  <c:v>-12.701575089499306</c:v>
                </c:pt>
                <c:pt idx="386">
                  <c:v>-12.717212266014089</c:v>
                </c:pt>
                <c:pt idx="387">
                  <c:v>-12.732321797855558</c:v>
                </c:pt>
                <c:pt idx="388">
                  <c:v>-12.746924777698638</c:v>
                </c:pt>
                <c:pt idx="389">
                  <c:v>-12.761042045682995</c:v>
                </c:pt>
                <c:pt idx="390">
                  <c:v>-12.774694176176196</c:v>
                </c:pt>
                <c:pt idx="391">
                  <c:v>-12.78790146729486</c:v>
                </c:pt>
                <c:pt idx="392">
                  <c:v>-12.800683933035028</c:v>
                </c:pt>
                <c:pt idx="393">
                  <c:v>-12.813061297862905</c:v>
                </c:pt>
                <c:pt idx="394">
                  <c:v>-12.825052993619064</c:v>
                </c:pt>
                <c:pt idx="395">
                  <c:v>-12.836678158592775</c:v>
                </c:pt>
                <c:pt idx="396">
                  <c:v>-12.847955638626228</c:v>
                </c:pt>
                <c:pt idx="397">
                  <c:v>-12.858903990113399</c:v>
                </c:pt>
                <c:pt idx="398">
                  <c:v>-12.869541484763014</c:v>
                </c:pt>
                <c:pt idx="399">
                  <c:v>-12.879886116002295</c:v>
                </c:pt>
                <c:pt idx="400">
                  <c:v>-12.889955606900065</c:v>
                </c:pt>
                <c:pt idx="401">
                  <c:v>-12.899767419499891</c:v>
                </c:pt>
                <c:pt idx="402">
                  <c:v>-12.909338765453665</c:v>
                </c:pt>
                <c:pt idx="403">
                  <c:v>-12.918686617858487</c:v>
                </c:pt>
                <c:pt idx="404">
                  <c:v>-12.927827724200991</c:v>
                </c:pt>
                <c:pt idx="405">
                  <c:v>-12.936778620322739</c:v>
                </c:pt>
                <c:pt idx="406">
                  <c:v>-12.945555645324852</c:v>
                </c:pt>
                <c:pt idx="407">
                  <c:v>-12.954174957337685</c:v>
                </c:pt>
                <c:pt idx="408">
                  <c:v>-12.962652550083236</c:v>
                </c:pt>
                <c:pt idx="409">
                  <c:v>-12.971004270169569</c:v>
                </c:pt>
                <c:pt idx="410">
                  <c:v>-12.979245835054652</c:v>
                </c:pt>
                <c:pt idx="411">
                  <c:v>-12.98739285162898</c:v>
                </c:pt>
                <c:pt idx="412">
                  <c:v>-12.995460835364401</c:v>
                </c:pt>
                <c:pt idx="413">
                  <c:v>-13.003465229986038</c:v>
                </c:pt>
                <c:pt idx="414">
                  <c:v>-13.011421427624958</c:v>
                </c:pt>
                <c:pt idx="415">
                  <c:v>-13.019344789413626</c:v>
                </c:pt>
                <c:pt idx="416">
                  <c:v>-13.027250666490575</c:v>
                </c:pt>
                <c:pt idx="417">
                  <c:v>-13.035154421381135</c:v>
                </c:pt>
                <c:pt idx="418">
                  <c:v>-13.043071449725574</c:v>
                </c:pt>
                <c:pt idx="419">
                  <c:v>-13.051017202327241</c:v>
                </c:pt>
                <c:pt idx="420">
                  <c:v>-13.059007207495766</c:v>
                </c:pt>
                <c:pt idx="421">
                  <c:v>-13.067057093658857</c:v>
                </c:pt>
                <c:pt idx="422">
                  <c:v>-13.075182612222529</c:v>
                </c:pt>
                <c:pt idx="423">
                  <c:v>-13.083399660653063</c:v>
                </c:pt>
                <c:pt idx="424">
                  <c:v>-13.091724305761328</c:v>
                </c:pt>
                <c:pt idx="425">
                  <c:v>-13.100172807164567</c:v>
                </c:pt>
                <c:pt idx="426">
                  <c:v>-13.108761640901561</c:v>
                </c:pt>
                <c:pt idx="427">
                  <c:v>-13.117507523177455</c:v>
                </c:pt>
                <c:pt idx="428">
                  <c:v>-13.126427434211758</c:v>
                </c:pt>
                <c:pt idx="429">
                  <c:v>-13.135538642160164</c:v>
                </c:pt>
                <c:pt idx="430">
                  <c:v>-13.144858727080972</c:v>
                </c:pt>
                <c:pt idx="431">
                  <c:v>-13.154405604911377</c:v>
                </c:pt>
                <c:pt idx="432">
                  <c:v>-13.164197551419027</c:v>
                </c:pt>
                <c:pt idx="433">
                  <c:v>-13.174253226086677</c:v>
                </c:pt>
                <c:pt idx="434">
                  <c:v>-13.18459169588724</c:v>
                </c:pt>
                <c:pt idx="435">
                  <c:v>-13.195232458900241</c:v>
                </c:pt>
                <c:pt idx="436">
                  <c:v>-13.206195467716377</c:v>
                </c:pt>
                <c:pt idx="437">
                  <c:v>-13.217501152571332</c:v>
                </c:pt>
                <c:pt idx="438">
                  <c:v>-13.22917044414438</c:v>
                </c:pt>
                <c:pt idx="439">
                  <c:v>-13.241224795951837</c:v>
                </c:pt>
                <c:pt idx="440">
                  <c:v>-13.253686206257969</c:v>
                </c:pt>
                <c:pt idx="441">
                  <c:v>-13.266577239419552</c:v>
                </c:pt>
                <c:pt idx="442">
                  <c:v>-13.279921046573083</c:v>
                </c:pt>
                <c:pt idx="443">
                  <c:v>-13.293741385566511</c:v>
                </c:pt>
                <c:pt idx="444">
                  <c:v>-13.308062640028822</c:v>
                </c:pt>
                <c:pt idx="445">
                  <c:v>-13.322909837462653</c:v>
                </c:pt>
                <c:pt idx="446">
                  <c:v>-13.338308666239154</c:v>
                </c:pt>
                <c:pt idx="447">
                  <c:v>-13.354285491361932</c:v>
                </c:pt>
                <c:pt idx="448">
                  <c:v>-13.3708673688628</c:v>
                </c:pt>
                <c:pt idx="449">
                  <c:v>-13.388082058680071</c:v>
                </c:pt>
                <c:pt idx="450">
                  <c:v>-13.405958035865204</c:v>
                </c:pt>
                <c:pt idx="451">
                  <c:v>-13.424524499953245</c:v>
                </c:pt>
                <c:pt idx="452">
                  <c:v>-13.4438113823247</c:v>
                </c:pt>
                <c:pt idx="453">
                  <c:v>-13.463849351382184</c:v>
                </c:pt>
                <c:pt idx="454">
                  <c:v>-13.484669815354845</c:v>
                </c:pt>
                <c:pt idx="455">
                  <c:v>-13.506304922540931</c:v>
                </c:pt>
                <c:pt idx="456">
                  <c:v>-13.528787558791361</c:v>
                </c:pt>
                <c:pt idx="457">
                  <c:v>-13.5521513420363</c:v>
                </c:pt>
                <c:pt idx="458">
                  <c:v>-13.576430613651736</c:v>
                </c:pt>
                <c:pt idx="459">
                  <c:v>-13.601660426463123</c:v>
                </c:pt>
                <c:pt idx="460">
                  <c:v>-13.627876529185109</c:v>
                </c:pt>
                <c:pt idx="461">
                  <c:v>-13.655115347097109</c:v>
                </c:pt>
                <c:pt idx="462">
                  <c:v>-13.683413958760722</c:v>
                </c:pt>
                <c:pt idx="463">
                  <c:v>-13.712810068592249</c:v>
                </c:pt>
                <c:pt idx="464">
                  <c:v>-13.74334197511252</c:v>
                </c:pt>
                <c:pt idx="465">
                  <c:v>-13.775048534709049</c:v>
                </c:pt>
                <c:pt idx="466">
                  <c:v>-13.807969120763254</c:v>
                </c:pt>
                <c:pt idx="467">
                  <c:v>-13.842143578009551</c:v>
                </c:pt>
                <c:pt idx="468">
                  <c:v>-13.877612172020481</c:v>
                </c:pt>
                <c:pt idx="469">
                  <c:v>-13.9144155337321</c:v>
                </c:pt>
                <c:pt idx="470">
                  <c:v>-13.95259459895775</c:v>
                </c:pt>
                <c:pt idx="471">
                  <c:v>-13.99219054286521</c:v>
                </c:pt>
                <c:pt idx="472">
                  <c:v>-14.033244709431656</c:v>
                </c:pt>
                <c:pt idx="473">
                  <c:v>-14.075798535928175</c:v>
                </c:pt>
                <c:pt idx="474">
                  <c:v>-14.119893472527759</c:v>
                </c:pt>
                <c:pt idx="475">
                  <c:v>-14.165570897173961</c:v>
                </c:pt>
                <c:pt idx="476">
                  <c:v>-14.212872025898569</c:v>
                </c:pt>
                <c:pt idx="477">
                  <c:v>-14.261837818821878</c:v>
                </c:pt>
                <c:pt idx="478">
                  <c:v>-14.312508882123126</c:v>
                </c:pt>
                <c:pt idx="479">
                  <c:v>-14.364925366320819</c:v>
                </c:pt>
                <c:pt idx="480">
                  <c:v>-14.419126861254281</c:v>
                </c:pt>
                <c:pt idx="481">
                  <c:v>-14.475152288212854</c:v>
                </c:pt>
                <c:pt idx="482">
                  <c:v>-14.533039789707844</c:v>
                </c:pt>
                <c:pt idx="483">
                  <c:v>-14.592826617435657</c:v>
                </c:pt>
                <c:pt idx="484">
                  <c:v>-14.654549019025742</c:v>
                </c:pt>
                <c:pt idx="485">
                  <c:v>-14.718242124211766</c:v>
                </c:pt>
                <c:pt idx="486">
                  <c:v>-14.783939831102916</c:v>
                </c:pt>
                <c:pt idx="487">
                  <c:v>-14.851674693268521</c:v>
                </c:pt>
                <c:pt idx="488">
                  <c:v>-14.921477808372558</c:v>
                </c:pt>
                <c:pt idx="489">
                  <c:v>-14.99337870912152</c:v>
                </c:pt>
                <c:pt idx="490">
                  <c:v>-15.067405257295952</c:v>
                </c:pt>
                <c:pt idx="491">
                  <c:v>-15.143583541645132</c:v>
                </c:pt>
                <c:pt idx="492">
                  <c:v>-15.221937780417163</c:v>
                </c:pt>
                <c:pt idx="493">
                  <c:v>-15.302490229284704</c:v>
                </c:pt>
                <c:pt idx="494">
                  <c:v>-15.385261095402218</c:v>
                </c:pt>
                <c:pt idx="495">
                  <c:v>-15.470268458298618</c:v>
                </c:pt>
                <c:pt idx="496">
                  <c:v>-15.557528198266354</c:v>
                </c:pt>
                <c:pt idx="497">
                  <c:v>-15.647053932856723</c:v>
                </c:pt>
                <c:pt idx="498">
                  <c:v>-15.738856962030967</c:v>
                </c:pt>
                <c:pt idx="499">
                  <c:v>-15.83294622244922</c:v>
                </c:pt>
                <c:pt idx="500">
                  <c:v>-15.929328251302902</c:v>
                </c:pt>
                <c:pt idx="501">
                  <c:v>-16.028007160017236</c:v>
                </c:pt>
                <c:pt idx="502">
                  <c:v>-16.128984618061676</c:v>
                </c:pt>
                <c:pt idx="503">
                  <c:v>-16.232259847018604</c:v>
                </c:pt>
                <c:pt idx="504">
                  <c:v>-16.337829624967398</c:v>
                </c:pt>
                <c:pt idx="505">
                  <c:v>-16.445688301149126</c:v>
                </c:pt>
                <c:pt idx="506">
                  <c:v>-16.555827820782699</c:v>
                </c:pt>
                <c:pt idx="507">
                  <c:v>-16.66823775981586</c:v>
                </c:pt>
                <c:pt idx="508">
                  <c:v>-16.782905369304867</c:v>
                </c:pt>
                <c:pt idx="509">
                  <c:v>-16.899815629036375</c:v>
                </c:pt>
                <c:pt idx="510">
                  <c:v>-17.018951309926234</c:v>
                </c:pt>
                <c:pt idx="511">
                  <c:v>-17.140293044662329</c:v>
                </c:pt>
                <c:pt idx="512">
                  <c:v>-17.26381940599574</c:v>
                </c:pt>
                <c:pt idx="513">
                  <c:v>-17.38950699203172</c:v>
                </c:pt>
                <c:pt idx="514">
                  <c:v>-17.517330517825002</c:v>
                </c:pt>
                <c:pt idx="515">
                  <c:v>-17.647262912554627</c:v>
                </c:pt>
                <c:pt idx="516">
                  <c:v>-17.779275421521717</c:v>
                </c:pt>
                <c:pt idx="517">
                  <c:v>-17.913337712202274</c:v>
                </c:pt>
                <c:pt idx="518">
                  <c:v>-18.049417983578262</c:v>
                </c:pt>
                <c:pt idx="519">
                  <c:v>-18.187483077976179</c:v>
                </c:pt>
                <c:pt idx="520">
                  <c:v>-18.327498594647594</c:v>
                </c:pt>
                <c:pt idx="521">
                  <c:v>-18.469429004352435</c:v>
                </c:pt>
                <c:pt idx="522">
                  <c:v>-18.613237764226508</c:v>
                </c:pt>
                <c:pt idx="523">
                  <c:v>-18.758887432250152</c:v>
                </c:pt>
                <c:pt idx="524">
                  <c:v>-18.906339780673672</c:v>
                </c:pt>
                <c:pt idx="525">
                  <c:v>-19.055555907795842</c:v>
                </c:pt>
                <c:pt idx="526">
                  <c:v>-19.206496347540835</c:v>
                </c:pt>
                <c:pt idx="527">
                  <c:v>-19.35912117632741</c:v>
                </c:pt>
                <c:pt idx="528">
                  <c:v>-19.513390116775849</c:v>
                </c:pt>
                <c:pt idx="529">
                  <c:v>-19.669262637851777</c:v>
                </c:pt>
                <c:pt idx="530">
                  <c:v>-19.826698051096677</c:v>
                </c:pt>
                <c:pt idx="531">
                  <c:v>-19.985655602650507</c:v>
                </c:pt>
                <c:pt idx="532">
                  <c:v>-20.146094560822007</c:v>
                </c:pt>
                <c:pt idx="533">
                  <c:v>-20.307974299011818</c:v>
                </c:pt>
                <c:pt idx="534">
                  <c:v>-20.471254373843184</c:v>
                </c:pt>
                <c:pt idx="535">
                  <c:v>-20.635894598398647</c:v>
                </c:pt>
                <c:pt idx="536">
                  <c:v>-20.801855110505237</c:v>
                </c:pt>
                <c:pt idx="537">
                  <c:v>-20.969096436050258</c:v>
                </c:pt>
                <c:pt idx="538">
                  <c:v>-21.137579547344174</c:v>
                </c:pt>
                <c:pt idx="539">
                  <c:v>-21.307265916583255</c:v>
                </c:pt>
                <c:pt idx="540">
                  <c:v>-21.478117564490802</c:v>
                </c:pt>
                <c:pt idx="541">
                  <c:v>-21.650097104245095</c:v>
                </c:pt>
              </c:numCache>
            </c:numRef>
          </c:yVal>
          <c:smooth val="1"/>
          <c:extLst>
            <c:ext xmlns:c16="http://schemas.microsoft.com/office/drawing/2014/chart" uri="{C3380CC4-5D6E-409C-BE32-E72D297353CC}">
              <c16:uniqueId val="{00000000-0FB9-4663-91DF-5C8FC461A7AF}"/>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Control_Loop_Tables!$AD$19:$AD$560</c:f>
              <c:numCache>
                <c:formatCode>General</c:formatCode>
                <c:ptCount val="542"/>
                <c:pt idx="0">
                  <c:v>-3.9246461941802617</c:v>
                </c:pt>
                <c:pt idx="1">
                  <c:v>-4.0157563835676431</c:v>
                </c:pt>
                <c:pt idx="2">
                  <c:v>-4.1089669678820249</c:v>
                </c:pt>
                <c:pt idx="3">
                  <c:v>-4.2043253211341751</c:v>
                </c:pt>
                <c:pt idx="4">
                  <c:v>-4.3018798112717276</c:v>
                </c:pt>
                <c:pt idx="5">
                  <c:v>-4.4016798156584231</c:v>
                </c:pt>
                <c:pt idx="6">
                  <c:v>-4.5037757363853377</c:v>
                </c:pt>
                <c:pt idx="7">
                  <c:v>-4.6082190153732903</c:v>
                </c:pt>
                <c:pt idx="8">
                  <c:v>-4.7150621492251394</c:v>
                </c:pt>
                <c:pt idx="9">
                  <c:v>-4.8243587037809608</c:v>
                </c:pt>
                <c:pt idx="10">
                  <c:v>-4.9361633283273898</c:v>
                </c:pt>
                <c:pt idx="11">
                  <c:v>-5.050531769406768</c:v>
                </c:pt>
                <c:pt idx="12">
                  <c:v>-5.1675208841695648</c:v>
                </c:pt>
                <c:pt idx="13">
                  <c:v>-5.2871886532072594</c:v>
                </c:pt>
                <c:pt idx="14">
                  <c:v>-5.4095941928004665</c:v>
                </c:pt>
                <c:pt idx="15">
                  <c:v>-5.5347977665101888</c:v>
                </c:pt>
                <c:pt idx="16">
                  <c:v>-5.6628607960361075</c:v>
                </c:pt>
                <c:pt idx="17">
                  <c:v>-5.7938458712609107</c:v>
                </c:pt>
                <c:pt idx="18">
                  <c:v>-5.9278167593926803</c:v>
                </c:pt>
                <c:pt idx="19">
                  <c:v>-6.0648384131110316</c:v>
                </c:pt>
                <c:pt idx="20">
                  <c:v>-6.2049769776199071</c:v>
                </c:pt>
                <c:pt idx="21">
                  <c:v>-6.3482997964981216</c:v>
                </c:pt>
                <c:pt idx="22">
                  <c:v>-6.4948754162350673</c:v>
                </c:pt>
                <c:pt idx="23">
                  <c:v>-6.6447735893320115</c:v>
                </c:pt>
                <c:pt idx="24">
                  <c:v>-6.7980652758388089</c:v>
                </c:pt>
                <c:pt idx="25">
                  <c:v>-6.9548226431911901</c:v>
                </c:pt>
                <c:pt idx="26">
                  <c:v>-7.1151190642030242</c:v>
                </c:pt>
                <c:pt idx="27">
                  <c:v>-7.2790291130601874</c:v>
                </c:pt>
                <c:pt idx="28">
                  <c:v>-7.4466285591541457</c:v>
                </c:pt>
                <c:pt idx="29">
                  <c:v>-7.6179943585818073</c:v>
                </c:pt>
                <c:pt idx="30">
                  <c:v>-7.7932046431315172</c:v>
                </c:pt>
                <c:pt idx="31">
                  <c:v>-7.9723387065620379</c:v>
                </c:pt>
                <c:pt idx="32">
                  <c:v>-8.1554769879734952</c:v>
                </c:pt>
                <c:pt idx="33">
                  <c:v>-8.3427010520555953</c:v>
                </c:pt>
                <c:pt idx="34">
                  <c:v>-8.5340935659917516</c:v>
                </c:pt>
                <c:pt idx="35">
                  <c:v>-8.7297382727814803</c:v>
                </c:pt>
                <c:pt idx="36">
                  <c:v>-8.9297199607372235</c:v>
                </c:pt>
                <c:pt idx="37">
                  <c:v>-9.1341244288959498</c:v>
                </c:pt>
                <c:pt idx="38">
                  <c:v>-9.3430384480774968</c:v>
                </c:pt>
                <c:pt idx="39">
                  <c:v>-9.5565497173085188</c:v>
                </c:pt>
                <c:pt idx="40">
                  <c:v>-9.7747468153197552</c:v>
                </c:pt>
                <c:pt idx="41">
                  <c:v>-9.9977191468139139</c:v>
                </c:pt>
                <c:pt idx="42">
                  <c:v>-10.225556883188593</c:v>
                </c:pt>
                <c:pt idx="43">
                  <c:v>-10.458350897390531</c:v>
                </c:pt>
                <c:pt idx="44">
                  <c:v>-10.696192692566207</c:v>
                </c:pt>
                <c:pt idx="45">
                  <c:v>-10.939174324162328</c:v>
                </c:pt>
                <c:pt idx="46">
                  <c:v>-11.18738831512678</c:v>
                </c:pt>
                <c:pt idx="47">
                  <c:v>-11.440927563846978</c:v>
                </c:pt>
                <c:pt idx="48">
                  <c:v>-11.699885244459162</c:v>
                </c:pt>
                <c:pt idx="49">
                  <c:v>-11.964354699158385</c:v>
                </c:pt>
                <c:pt idx="50">
                  <c:v>-12.234429322133394</c:v>
                </c:pt>
                <c:pt idx="51">
                  <c:v>-12.510202434750408</c:v>
                </c:pt>
                <c:pt idx="52">
                  <c:v>-12.791767151611186</c:v>
                </c:pt>
                <c:pt idx="53">
                  <c:v>-13.079216237114549</c:v>
                </c:pt>
                <c:pt idx="54">
                  <c:v>-13.372641952153964</c:v>
                </c:pt>
                <c:pt idx="55">
                  <c:v>-13.672135890599028</c:v>
                </c:pt>
                <c:pt idx="56">
                  <c:v>-13.97778880521626</c:v>
                </c:pt>
                <c:pt idx="57">
                  <c:v>-14.289690422704435</c:v>
                </c:pt>
                <c:pt idx="58">
                  <c:v>-14.607929247542687</c:v>
                </c:pt>
                <c:pt idx="59">
                  <c:v>-14.932592354371323</c:v>
                </c:pt>
                <c:pt idx="60">
                  <c:v>-15.263765168661893</c:v>
                </c:pt>
                <c:pt idx="61">
                  <c:v>-15.601531235467901</c:v>
                </c:pt>
                <c:pt idx="62">
                  <c:v>-15.94597197608876</c:v>
                </c:pt>
                <c:pt idx="63">
                  <c:v>-16.297166432535089</c:v>
                </c:pt>
                <c:pt idx="64">
                  <c:v>-16.655190999733438</c:v>
                </c:pt>
                <c:pt idx="65">
                  <c:v>-17.02011914547753</c:v>
                </c:pt>
                <c:pt idx="66">
                  <c:v>-17.392021118202774</c:v>
                </c:pt>
                <c:pt idx="67">
                  <c:v>-17.770963642740131</c:v>
                </c:pt>
                <c:pt idx="68">
                  <c:v>-18.157009604295673</c:v>
                </c:pt>
                <c:pt idx="69">
                  <c:v>-18.550217720995715</c:v>
                </c:pt>
                <c:pt idx="70">
                  <c:v>-18.950642205445103</c:v>
                </c:pt>
                <c:pt idx="71">
                  <c:v>-19.358332415857891</c:v>
                </c:pt>
                <c:pt idx="72">
                  <c:v>-19.773332497443977</c:v>
                </c:pt>
                <c:pt idx="73">
                  <c:v>-20.195681014864238</c:v>
                </c:pt>
                <c:pt idx="74">
                  <c:v>-20.625410576705455</c:v>
                </c:pt>
                <c:pt idx="75">
                  <c:v>-21.062547453074167</c:v>
                </c:pt>
                <c:pt idx="76">
                  <c:v>-21.50711118755741</c:v>
                </c:pt>
                <c:pt idx="77">
                  <c:v>-21.959114204961651</c:v>
                </c:pt>
                <c:pt idx="78">
                  <c:v>-22.418561416398084</c:v>
                </c:pt>
                <c:pt idx="79">
                  <c:v>-22.885449823457119</c:v>
                </c:pt>
                <c:pt idx="80">
                  <c:v>-23.359768123373108</c:v>
                </c:pt>
                <c:pt idx="81">
                  <c:v>-23.841496317255604</c:v>
                </c:pt>
                <c:pt idx="82">
                  <c:v>-24.330605323625949</c:v>
                </c:pt>
                <c:pt idx="83">
                  <c:v>-24.827056599659088</c:v>
                </c:pt>
                <c:pt idx="84">
                  <c:v>-25.330801772684875</c:v>
                </c:pt>
                <c:pt idx="85">
                  <c:v>-25.841782284644406</c:v>
                </c:pt>
                <c:pt idx="86">
                  <c:v>-26.359929052332927</c:v>
                </c:pt>
                <c:pt idx="87">
                  <c:v>-26.885162146368831</c:v>
                </c:pt>
                <c:pt idx="88">
                  <c:v>-27.417390491931105</c:v>
                </c:pt>
                <c:pt idx="89">
                  <c:v>-27.956511594372227</c:v>
                </c:pt>
                <c:pt idx="90">
                  <c:v>-28.502411292867418</c:v>
                </c:pt>
                <c:pt idx="91">
                  <c:v>-29.054963545276468</c:v>
                </c:pt>
                <c:pt idx="92">
                  <c:v>-29.614030247374636</c:v>
                </c:pt>
                <c:pt idx="93">
                  <c:v>-30.179461089568065</c:v>
                </c:pt>
                <c:pt idx="94">
                  <c:v>-30.751093454115068</c:v>
                </c:pt>
                <c:pt idx="95">
                  <c:v>-31.328752355744651</c:v>
                </c:pt>
                <c:pt idx="96">
                  <c:v>-31.912250428401624</c:v>
                </c:pt>
                <c:pt idx="97">
                  <c:v>-32.501387960626765</c:v>
                </c:pt>
                <c:pt idx="98">
                  <c:v>-33.09595298182893</c:v>
                </c:pt>
                <c:pt idx="99">
                  <c:v>-33.695721401404782</c:v>
                </c:pt>
                <c:pt idx="100">
                  <c:v>-34.300457202320523</c:v>
                </c:pt>
                <c:pt idx="101">
                  <c:v>-34.909912690388978</c:v>
                </c:pt>
                <c:pt idx="102">
                  <c:v>-35.523828800056123</c:v>
                </c:pt>
                <c:pt idx="103">
                  <c:v>-36.141935457059333</c:v>
                </c:pt>
                <c:pt idx="104">
                  <c:v>-36.763951997837978</c:v>
                </c:pt>
                <c:pt idx="105">
                  <c:v>-37.389587645073462</c:v>
                </c:pt>
                <c:pt idx="106">
                  <c:v>-38.018542038214058</c:v>
                </c:pt>
                <c:pt idx="107">
                  <c:v>-38.650505817309181</c:v>
                </c:pt>
                <c:pt idx="108">
                  <c:v>-39.285161257942804</c:v>
                </c:pt>
                <c:pt idx="109">
                  <c:v>-39.922182954531827</c:v>
                </c:pt>
                <c:pt idx="110">
                  <c:v>-40.561238548735453</c:v>
                </c:pt>
                <c:pt idx="111">
                  <c:v>-41.201989499237023</c:v>
                </c:pt>
                <c:pt idx="112">
                  <c:v>-41.844091888694315</c:v>
                </c:pt>
                <c:pt idx="113">
                  <c:v>-42.487197263236517</c:v>
                </c:pt>
                <c:pt idx="114">
                  <c:v>-43.130953499507939</c:v>
                </c:pt>
                <c:pt idx="115">
                  <c:v>-43.775005693939733</c:v>
                </c:pt>
                <c:pt idx="116">
                  <c:v>-44.418997068665966</c:v>
                </c:pt>
                <c:pt idx="117">
                  <c:v>-45.062569888304274</c:v>
                </c:pt>
                <c:pt idx="118">
                  <c:v>-45.705366381687242</c:v>
                </c:pt>
                <c:pt idx="119">
                  <c:v>-46.347029662576041</c:v>
                </c:pt>
                <c:pt idx="120">
                  <c:v>-46.987204643395494</c:v>
                </c:pt>
                <c:pt idx="121">
                  <c:v>-47.625538936112903</c:v>
                </c:pt>
                <c:pt idx="122">
                  <c:v>-48.261683734536746</c:v>
                </c:pt>
                <c:pt idx="123">
                  <c:v>-48.895294672534106</c:v>
                </c:pt>
                <c:pt idx="124">
                  <c:v>-49.526032652940771</c:v>
                </c:pt>
                <c:pt idx="125">
                  <c:v>-50.153564642284216</c:v>
                </c:pt>
                <c:pt idx="126">
                  <c:v>-50.777564426830722</c:v>
                </c:pt>
                <c:pt idx="127">
                  <c:v>-51.397713325894856</c:v>
                </c:pt>
                <c:pt idx="128">
                  <c:v>-52.013700858831903</c:v>
                </c:pt>
                <c:pt idx="129">
                  <c:v>-52.625225362629998</c:v>
                </c:pt>
                <c:pt idx="130">
                  <c:v>-53.231994557528388</c:v>
                </c:pt>
                <c:pt idx="131">
                  <c:v>-53.833726058636529</c:v>
                </c:pt>
                <c:pt idx="132">
                  <c:v>-54.430147832048277</c:v>
                </c:pt>
                <c:pt idx="133">
                  <c:v>-55.020998594480957</c:v>
                </c:pt>
                <c:pt idx="134">
                  <c:v>-55.606028155985882</c:v>
                </c:pt>
                <c:pt idx="135">
                  <c:v>-56.184997705773327</c:v>
                </c:pt>
                <c:pt idx="136">
                  <c:v>-56.757680041668273</c:v>
                </c:pt>
                <c:pt idx="137">
                  <c:v>-57.323859744157332</c:v>
                </c:pt>
                <c:pt idx="138">
                  <c:v>-57.883333296389772</c:v>
                </c:pt>
                <c:pt idx="139">
                  <c:v>-58.435909151877553</c:v>
                </c:pt>
                <c:pt idx="140">
                  <c:v>-58.98140775194792</c:v>
                </c:pt>
                <c:pt idx="141">
                  <c:v>-59.51966149531092</c:v>
                </c:pt>
                <c:pt idx="142">
                  <c:v>-60.05051466233077</c:v>
                </c:pt>
                <c:pt idx="143">
                  <c:v>-60.573823296796249</c:v>
                </c:pt>
                <c:pt idx="144">
                  <c:v>-61.089455048145112</c:v>
                </c:pt>
                <c:pt idx="145">
                  <c:v>-61.59728897720592</c:v>
                </c:pt>
                <c:pt idx="146">
                  <c:v>-62.097215328605621</c:v>
                </c:pt>
                <c:pt idx="147">
                  <c:v>-62.589135273025391</c:v>
                </c:pt>
                <c:pt idx="148">
                  <c:v>-63.072960622493248</c:v>
                </c:pt>
                <c:pt idx="149">
                  <c:v>-63.548613521877513</c:v>
                </c:pt>
                <c:pt idx="150">
                  <c:v>-64.016026119691631</c:v>
                </c:pt>
                <c:pt idx="151">
                  <c:v>-64.475140221237837</c:v>
                </c:pt>
                <c:pt idx="152">
                  <c:v>-64.925906927020122</c:v>
                </c:pt>
                <c:pt idx="153">
                  <c:v>-65.368286259240634</c:v>
                </c:pt>
                <c:pt idx="154">
                  <c:v>-65.802246779050918</c:v>
                </c:pt>
                <c:pt idx="155">
                  <c:v>-66.227765197096048</c:v>
                </c:pt>
                <c:pt idx="156">
                  <c:v>-66.64482597972551</c:v>
                </c:pt>
                <c:pt idx="157">
                  <c:v>-67.053420953090054</c:v>
                </c:pt>
                <c:pt idx="158">
                  <c:v>-67.453548907175573</c:v>
                </c:pt>
                <c:pt idx="159">
                  <c:v>-67.845215201663663</c:v>
                </c:pt>
                <c:pt idx="160">
                  <c:v>-68.228431375337621</c:v>
                </c:pt>
                <c:pt idx="161">
                  <c:v>-68.603214760597297</c:v>
                </c:pt>
                <c:pt idx="162">
                  <c:v>-68.969588104479172</c:v>
                </c:pt>
                <c:pt idx="163">
                  <c:v>-69.327579197433195</c:v>
                </c:pt>
                <c:pt idx="164">
                  <c:v>-69.677220510950306</c:v>
                </c:pt>
                <c:pt idx="165">
                  <c:v>-70.018548845005228</c:v>
                </c:pt>
                <c:pt idx="166">
                  <c:v>-70.351604986138156</c:v>
                </c:pt>
                <c:pt idx="167">
                  <c:v>-70.676433376879032</c:v>
                </c:pt>
                <c:pt idx="168">
                  <c:v>-70.993081797101595</c:v>
                </c:pt>
                <c:pt idx="169">
                  <c:v>-71.30160105778711</c:v>
                </c:pt>
                <c:pt idx="170">
                  <c:v>-71.602044707581726</c:v>
                </c:pt>
                <c:pt idx="171">
                  <c:v>-71.894468752438883</c:v>
                </c:pt>
                <c:pt idx="172">
                  <c:v>-72.178931388561779</c:v>
                </c:pt>
                <c:pt idx="173">
                  <c:v>-72.455492748786838</c:v>
                </c:pt>
                <c:pt idx="174">
                  <c:v>-72.724214662485906</c:v>
                </c:pt>
                <c:pt idx="175">
                  <c:v>-72.985160429008658</c:v>
                </c:pt>
                <c:pt idx="176">
                  <c:v>-73.23839460463941</c:v>
                </c:pt>
                <c:pt idx="177">
                  <c:v>-73.483982803000828</c:v>
                </c:pt>
                <c:pt idx="178">
                  <c:v>-73.721991508802148</c:v>
                </c:pt>
                <c:pt idx="179">
                  <c:v>-73.952487904801401</c:v>
                </c:pt>
                <c:pt idx="180">
                  <c:v>-74.175539711829884</c:v>
                </c:pt>
                <c:pt idx="181">
                  <c:v>-74.391215041707895</c:v>
                </c:pt>
                <c:pt idx="182">
                  <c:v>-74.599582262869916</c:v>
                </c:pt>
                <c:pt idx="183">
                  <c:v>-74.800709878510943</c:v>
                </c:pt>
                <c:pt idx="184">
                  <c:v>-74.994666417059804</c:v>
                </c:pt>
                <c:pt idx="185">
                  <c:v>-75.181520334787436</c:v>
                </c:pt>
                <c:pt idx="186">
                  <c:v>-75.361339930361282</c:v>
                </c:pt>
                <c:pt idx="187">
                  <c:v>-75.534193271163815</c:v>
                </c:pt>
                <c:pt idx="188">
                  <c:v>-75.700148131202198</c:v>
                </c:pt>
                <c:pt idx="189">
                  <c:v>-75.859271940448082</c:v>
                </c:pt>
                <c:pt idx="190">
                  <c:v>-76.011631745460647</c:v>
                </c:pt>
                <c:pt idx="191">
                  <c:v>-76.15729418116058</c:v>
                </c:pt>
                <c:pt idx="192">
                  <c:v>-76.296325453640122</c:v>
                </c:pt>
                <c:pt idx="193">
                  <c:v>-76.428791333912429</c:v>
                </c:pt>
                <c:pt idx="194">
                  <c:v>-76.554757162523032</c:v>
                </c:pt>
                <c:pt idx="195">
                  <c:v>-76.674287864963276</c:v>
                </c:pt>
                <c:pt idx="196">
                  <c:v>-76.78744797784897</c:v>
                </c:pt>
                <c:pt idx="197">
                  <c:v>-76.894301685846344</c:v>
                </c:pt>
                <c:pt idx="198">
                  <c:v>-76.994912869345484</c:v>
                </c:pt>
                <c:pt idx="199">
                  <c:v>-77.089345162904337</c:v>
                </c:pt>
                <c:pt idx="200">
                  <c:v>-77.177662024503903</c:v>
                </c:pt>
                <c:pt idx="201">
                  <c:v>-77.259926815672443</c:v>
                </c:pt>
                <c:pt idx="202">
                  <c:v>-77.336202892556386</c:v>
                </c:pt>
                <c:pt idx="203">
                  <c:v>-77.406553708029747</c:v>
                </c:pt>
                <c:pt idx="204">
                  <c:v>-77.471042924947284</c:v>
                </c:pt>
                <c:pt idx="205">
                  <c:v>-77.529734540661465</c:v>
                </c:pt>
                <c:pt idx="206">
                  <c:v>-77.582693022931309</c:v>
                </c:pt>
                <c:pt idx="207">
                  <c:v>-77.62998345735889</c:v>
                </c:pt>
                <c:pt idx="208">
                  <c:v>-77.671671706495843</c:v>
                </c:pt>
                <c:pt idx="209">
                  <c:v>-77.707824580760757</c:v>
                </c:pt>
                <c:pt idx="210">
                  <c:v>-77.738510021309153</c:v>
                </c:pt>
                <c:pt idx="211">
                  <c:v>-77.763797294989487</c:v>
                </c:pt>
                <c:pt idx="212">
                  <c:v>-77.783757201509772</c:v>
                </c:pt>
                <c:pt idx="213">
                  <c:v>-77.798462292921954</c:v>
                </c:pt>
                <c:pt idx="214">
                  <c:v>-77.807987105515949</c:v>
                </c:pt>
                <c:pt idx="215">
                  <c:v>-77.812408404180417</c:v>
                </c:pt>
                <c:pt idx="216">
                  <c:v>-77.811805439265555</c:v>
                </c:pt>
                <c:pt idx="217">
                  <c:v>-77.806260215936078</c:v>
                </c:pt>
                <c:pt idx="218">
                  <c:v>-77.795857775962872</c:v>
                </c:pt>
                <c:pt idx="219">
                  <c:v>-77.780686491843127</c:v>
                </c:pt>
                <c:pt idx="220">
                  <c:v>-77.76083837308569</c:v>
                </c:pt>
                <c:pt idx="221">
                  <c:v>-77.736409384420213</c:v>
                </c:pt>
                <c:pt idx="222">
                  <c:v>-77.707499775619553</c:v>
                </c:pt>
                <c:pt idx="223">
                  <c:v>-77.674214422531492</c:v>
                </c:pt>
                <c:pt idx="224">
                  <c:v>-77.636663178825344</c:v>
                </c:pt>
                <c:pt idx="225">
                  <c:v>-77.594961237852672</c:v>
                </c:pt>
                <c:pt idx="226">
                  <c:v>-77.549229503903447</c:v>
                </c:pt>
                <c:pt idx="227">
                  <c:v>-77.49959497202245</c:v>
                </c:pt>
                <c:pt idx="228">
                  <c:v>-77.44619111541104</c:v>
                </c:pt>
                <c:pt idx="229">
                  <c:v>-77.389158279301583</c:v>
                </c:pt>
                <c:pt idx="230">
                  <c:v>-77.328644080041158</c:v>
                </c:pt>
                <c:pt idx="231">
                  <c:v>-77.264803807959098</c:v>
                </c:pt>
                <c:pt idx="232">
                  <c:v>-77.197800832437196</c:v>
                </c:pt>
                <c:pt idx="233">
                  <c:v>-77.127807007415456</c:v>
                </c:pt>
                <c:pt idx="234">
                  <c:v>-77.055003075405793</c:v>
                </c:pt>
                <c:pt idx="235">
                  <c:v>-76.979579067895315</c:v>
                </c:pt>
                <c:pt idx="236">
                  <c:v>-76.901734699844241</c:v>
                </c:pt>
                <c:pt idx="237">
                  <c:v>-76.821679755803785</c:v>
                </c:pt>
                <c:pt idx="238">
                  <c:v>-76.739634464997962</c:v>
                </c:pt>
                <c:pt idx="239">
                  <c:v>-76.655829862544692</c:v>
                </c:pt>
                <c:pt idx="240">
                  <c:v>-76.57050813382007</c:v>
                </c:pt>
                <c:pt idx="241">
                  <c:v>-76.483922938823596</c:v>
                </c:pt>
                <c:pt idx="242">
                  <c:v>-76.396339713254847</c:v>
                </c:pt>
                <c:pt idx="243">
                  <c:v>-76.308035942889504</c:v>
                </c:pt>
                <c:pt idx="244">
                  <c:v>-76.219301407747693</c:v>
                </c:pt>
                <c:pt idx="245">
                  <c:v>-76.130438392453939</c:v>
                </c:pt>
                <c:pt idx="246">
                  <c:v>-76.041761859154676</c:v>
                </c:pt>
                <c:pt idx="247">
                  <c:v>-75.953599579323424</c:v>
                </c:pt>
                <c:pt idx="248">
                  <c:v>-75.866292220809484</c:v>
                </c:pt>
                <c:pt idx="249">
                  <c:v>-75.780193386529376</c:v>
                </c:pt>
                <c:pt idx="250">
                  <c:v>-75.695669601294185</c:v>
                </c:pt>
                <c:pt idx="251">
                  <c:v>-75.613100243402002</c:v>
                </c:pt>
                <c:pt idx="252">
                  <c:v>-75.532877417796527</c:v>
                </c:pt>
                <c:pt idx="253">
                  <c:v>-75.455405767820281</c:v>
                </c:pt>
                <c:pt idx="254">
                  <c:v>-75.3811022228562</c:v>
                </c:pt>
                <c:pt idx="255">
                  <c:v>-75.310395679466353</c:v>
                </c:pt>
                <c:pt idx="256">
                  <c:v>-75.243726613996003</c:v>
                </c:pt>
                <c:pt idx="257">
                  <c:v>-75.181546625007996</c:v>
                </c:pt>
                <c:pt idx="258">
                  <c:v>-75.124317904359756</c:v>
                </c:pt>
                <c:pt idx="259">
                  <c:v>-75.072512636206142</c:v>
                </c:pt>
                <c:pt idx="260">
                  <c:v>-75.026612323721963</c:v>
                </c:pt>
                <c:pt idx="261">
                  <c:v>-74.987107043876151</c:v>
                </c:pt>
                <c:pt idx="262">
                  <c:v>-74.954494631139994</c:v>
                </c:pt>
                <c:pt idx="263">
                  <c:v>-74.929279791582076</c:v>
                </c:pt>
                <c:pt idx="264">
                  <c:v>-74.911973149380771</c:v>
                </c:pt>
                <c:pt idx="265">
                  <c:v>-74.90309022835369</c:v>
                </c:pt>
                <c:pt idx="266">
                  <c:v>-74.903150371671487</c:v>
                </c:pt>
                <c:pt idx="267">
                  <c:v>-74.912675603467235</c:v>
                </c:pt>
                <c:pt idx="268">
                  <c:v>-74.932189436576778</c:v>
                </c:pt>
                <c:pt idx="269">
                  <c:v>-74.962215631133432</c:v>
                </c:pt>
                <c:pt idx="270">
                  <c:v>-75.003276909189864</c:v>
                </c:pt>
                <c:pt idx="271">
                  <c:v>-75.055893630942649</c:v>
                </c:pt>
                <c:pt idx="272">
                  <c:v>-75.120582438487986</c:v>
                </c:pt>
                <c:pt idx="273">
                  <c:v>-75.197854873337391</c:v>
                </c:pt>
                <c:pt idx="274">
                  <c:v>-75.288215974150958</c:v>
                </c:pt>
                <c:pt idx="275">
                  <c:v>-75.392162861327918</c:v>
                </c:pt>
                <c:pt idx="276">
                  <c:v>-75.510183315208153</c:v>
                </c:pt>
                <c:pt idx="277">
                  <c:v>-75.642754354686403</c:v>
                </c:pt>
                <c:pt idx="278">
                  <c:v>-75.790340823033887</c:v>
                </c:pt>
                <c:pt idx="279">
                  <c:v>-75.953393987652191</c:v>
                </c:pt>
                <c:pt idx="280">
                  <c:v>-76.132350160365121</c:v>
                </c:pt>
                <c:pt idx="281">
                  <c:v>-76.32762934468029</c:v>
                </c:pt>
                <c:pt idx="282">
                  <c:v>-76.539633916227473</c:v>
                </c:pt>
                <c:pt idx="283">
                  <c:v>-76.768747342335303</c:v>
                </c:pt>
                <c:pt idx="284">
                  <c:v>-77.015332946403461</c:v>
                </c:pt>
                <c:pt idx="285">
                  <c:v>-77.27973272241104</c:v>
                </c:pt>
                <c:pt idx="286">
                  <c:v>-77.562266204563116</c:v>
                </c:pt>
                <c:pt idx="287">
                  <c:v>-77.863229396710423</c:v>
                </c:pt>
                <c:pt idx="288">
                  <c:v>-78.182893765814214</c:v>
                </c:pt>
                <c:pt idx="289">
                  <c:v>-78.521505303350239</c:v>
                </c:pt>
                <c:pt idx="290">
                  <c:v>-78.879283658163743</c:v>
                </c:pt>
                <c:pt idx="291">
                  <c:v>-79.256421343915434</c:v>
                </c:pt>
                <c:pt idx="292">
                  <c:v>-79.653083023885998</c:v>
                </c:pt>
                <c:pt idx="293">
                  <c:v>-80.069404875536733</c:v>
                </c:pt>
                <c:pt idx="294">
                  <c:v>-80.505494036874708</c:v>
                </c:pt>
                <c:pt idx="295">
                  <c:v>-80.961428136311085</c:v>
                </c:pt>
                <c:pt idx="296">
                  <c:v>-81.437254907371383</c:v>
                </c:pt>
                <c:pt idx="297">
                  <c:v>-81.932991889278881</c:v>
                </c:pt>
                <c:pt idx="298">
                  <c:v>-82.448626214113347</c:v>
                </c:pt>
                <c:pt idx="299">
                  <c:v>-82.984114480923765</c:v>
                </c:pt>
                <c:pt idx="300">
                  <c:v>-83.539382716874783</c:v>
                </c:pt>
                <c:pt idx="301">
                  <c:v>-84.114326425188906</c:v>
                </c:pt>
                <c:pt idx="302">
                  <c:v>-84.708810719355455</c:v>
                </c:pt>
                <c:pt idx="303">
                  <c:v>-85.322670542775967</c:v>
                </c:pt>
                <c:pt idx="304">
                  <c:v>-85.955710972721732</c:v>
                </c:pt>
                <c:pt idx="305">
                  <c:v>-86.607707607194172</c:v>
                </c:pt>
                <c:pt idx="306">
                  <c:v>-87.278407032986294</c:v>
                </c:pt>
                <c:pt idx="307">
                  <c:v>-87.96752737297264</c:v>
                </c:pt>
                <c:pt idx="308">
                  <c:v>-88.674758910375274</c:v>
                </c:pt>
                <c:pt idx="309">
                  <c:v>-89.399764787490696</c:v>
                </c:pt>
                <c:pt idx="310">
                  <c:v>-90.142181776113404</c:v>
                </c:pt>
                <c:pt idx="311">
                  <c:v>-90.901621116643867</c:v>
                </c:pt>
                <c:pt idx="312">
                  <c:v>-91.677669422649586</c:v>
                </c:pt>
                <c:pt idx="313">
                  <c:v>-92.469889647436375</c:v>
                </c:pt>
                <c:pt idx="314">
                  <c:v>-93.27782210899619</c:v>
                </c:pt>
                <c:pt idx="315">
                  <c:v>-94.100985569538409</c:v>
                </c:pt>
                <c:pt idx="316">
                  <c:v>-94.93887836565554</c:v>
                </c:pt>
                <c:pt idx="317">
                  <c:v>-95.790979585058835</c:v>
                </c:pt>
                <c:pt idx="318">
                  <c:v>-96.656750285725096</c:v>
                </c:pt>
                <c:pt idx="319">
                  <c:v>-97.5356347532081</c:v>
                </c:pt>
                <c:pt idx="320">
                  <c:v>-98.42706179183584</c:v>
                </c:pt>
                <c:pt idx="321">
                  <c:v>-99.330446045462494</c:v>
                </c:pt>
                <c:pt idx="322">
                  <c:v>-100.24518934345325</c:v>
                </c:pt>
                <c:pt idx="323">
                  <c:v>-101.17068206757101</c:v>
                </c:pt>
                <c:pt idx="324">
                  <c:v>-102.10630453546513</c:v>
                </c:pt>
                <c:pt idx="325">
                  <c:v>-103.05142839648772</c:v>
                </c:pt>
                <c:pt idx="326">
                  <c:v>-104.0054180356032</c:v>
                </c:pt>
                <c:pt idx="327">
                  <c:v>-104.96763198121803</c:v>
                </c:pt>
                <c:pt idx="328">
                  <c:v>-105.93742431278793</c:v>
                </c:pt>
                <c:pt idx="329">
                  <c:v>-106.91414606413319</c:v>
                </c:pt>
                <c:pt idx="330">
                  <c:v>-107.89714661843007</c:v>
                </c:pt>
                <c:pt idx="331">
                  <c:v>-108.88577509091263</c:v>
                </c:pt>
                <c:pt idx="332">
                  <c:v>-109.87938169536011</c:v>
                </c:pt>
                <c:pt idx="333">
                  <c:v>-110.87731909050895</c:v>
                </c:pt>
                <c:pt idx="334">
                  <c:v>-111.87894370256886</c:v>
                </c:pt>
                <c:pt idx="335">
                  <c:v>-112.88361702008768</c:v>
                </c:pt>
                <c:pt idx="336">
                  <c:v>-113.89070685746213</c:v>
                </c:pt>
                <c:pt idx="337">
                  <c:v>-114.89958858346984</c:v>
                </c:pt>
                <c:pt idx="338">
                  <c:v>-115.90964631126428</c:v>
                </c:pt>
                <c:pt idx="339">
                  <c:v>-116.92027404637368</c:v>
                </c:pt>
                <c:pt idx="340">
                  <c:v>-117.93087678935372</c:v>
                </c:pt>
                <c:pt idx="341">
                  <c:v>-118.94087158987513</c:v>
                </c:pt>
                <c:pt idx="342">
                  <c:v>-119.94968854917423</c:v>
                </c:pt>
                <c:pt idx="343">
                  <c:v>-120.95677176796912</c:v>
                </c:pt>
                <c:pt idx="344">
                  <c:v>-121.9615802371672</c:v>
                </c:pt>
                <c:pt idx="345">
                  <c:v>-122.96358866888644</c:v>
                </c:pt>
                <c:pt idx="346">
                  <c:v>-123.96228826560325</c:v>
                </c:pt>
                <c:pt idx="347">
                  <c:v>-124.9571874254994</c:v>
                </c:pt>
                <c:pt idx="348">
                  <c:v>-125.94781238240448</c:v>
                </c:pt>
                <c:pt idx="349">
                  <c:v>-126.93370777905167</c:v>
                </c:pt>
                <c:pt idx="350">
                  <c:v>-127.9144371727138</c:v>
                </c:pt>
                <c:pt idx="351">
                  <c:v>-128.88958347265972</c:v>
                </c:pt>
                <c:pt idx="352">
                  <c:v>-129.85874930923646</c:v>
                </c:pt>
                <c:pt idx="353">
                  <c:v>-130.82155733476722</c:v>
                </c:pt>
                <c:pt idx="354">
                  <c:v>-131.77765045684379</c:v>
                </c:pt>
                <c:pt idx="355">
                  <c:v>-132.72669200495378</c:v>
                </c:pt>
                <c:pt idx="356">
                  <c:v>-133.66836583177582</c:v>
                </c:pt>
                <c:pt idx="357">
                  <c:v>-134.60237635080372</c:v>
                </c:pt>
                <c:pt idx="358">
                  <c:v>-135.5284485123191</c:v>
                </c:pt>
                <c:pt idx="359">
                  <c:v>-136.44632772002993</c:v>
                </c:pt>
                <c:pt idx="360">
                  <c:v>-137.35577969098389</c:v>
                </c:pt>
                <c:pt idx="361">
                  <c:v>-138.25659026162378</c:v>
                </c:pt>
                <c:pt idx="362">
                  <c:v>-139.14856514306862</c:v>
                </c:pt>
                <c:pt idx="363">
                  <c:v>-140.03152962890073</c:v>
                </c:pt>
                <c:pt idx="364">
                  <c:v>-140.90532825888945</c:v>
                </c:pt>
                <c:pt idx="365">
                  <c:v>-141.76982444219777</c:v>
                </c:pt>
                <c:pt idx="366">
                  <c:v>-142.62490004371051</c:v>
                </c:pt>
                <c:pt idx="367">
                  <c:v>-143.47045493715305</c:v>
                </c:pt>
                <c:pt idx="368">
                  <c:v>-144.3064065287013</c:v>
                </c:pt>
                <c:pt idx="369">
                  <c:v>-145.13268925475313</c:v>
                </c:pt>
                <c:pt idx="370">
                  <c:v>-145.94925405748455</c:v>
                </c:pt>
                <c:pt idx="371">
                  <c:v>-146.75606784174317</c:v>
                </c:pt>
                <c:pt idx="372">
                  <c:v>-147.55311291672464</c:v>
                </c:pt>
                <c:pt idx="373">
                  <c:v>-148.3403864257568</c:v>
                </c:pt>
                <c:pt idx="374">
                  <c:v>-149.11789976737521</c:v>
                </c:pt>
                <c:pt idx="375">
                  <c:v>-149.88567801071375</c:v>
                </c:pt>
                <c:pt idx="376">
                  <c:v>-150.64375930806267</c:v>
                </c:pt>
                <c:pt idx="377">
                  <c:v>-151.39219430726797</c:v>
                </c:pt>
                <c:pt idx="378">
                  <c:v>-152.13104556645203</c:v>
                </c:pt>
                <c:pt idx="379">
                  <c:v>-152.86038697334354</c:v>
                </c:pt>
                <c:pt idx="380">
                  <c:v>-153.58030317131136</c:v>
                </c:pt>
                <c:pt idx="381">
                  <c:v>-154.29088899399383</c:v>
                </c:pt>
                <c:pt idx="382">
                  <c:v>-154.99224891022627</c:v>
                </c:pt>
                <c:pt idx="383">
                  <c:v>-155.6844964807745</c:v>
                </c:pt>
                <c:pt idx="384">
                  <c:v>-156.36775382819491</c:v>
                </c:pt>
                <c:pt idx="385">
                  <c:v>-157.04215112096418</c:v>
                </c:pt>
                <c:pt idx="386">
                  <c:v>-157.70782607284977</c:v>
                </c:pt>
                <c:pt idx="387">
                  <c:v>-158.36492345832119</c:v>
                </c:pt>
                <c:pt idx="388">
                  <c:v>-159.01359464465571</c:v>
                </c:pt>
                <c:pt idx="389">
                  <c:v>-159.65399714123913</c:v>
                </c:pt>
                <c:pt idx="390">
                  <c:v>-160.28629416642752</c:v>
                </c:pt>
                <c:pt idx="391">
                  <c:v>-160.91065423221264</c:v>
                </c:pt>
                <c:pt idx="392">
                  <c:v>-161.5272507468122</c:v>
                </c:pt>
                <c:pt idx="393">
                  <c:v>-162.13626163520112</c:v>
                </c:pt>
                <c:pt idx="394">
                  <c:v>-162.7378689775062</c:v>
                </c:pt>
                <c:pt idx="395">
                  <c:v>-163.33225866509181</c:v>
                </c:pt>
                <c:pt idx="396">
                  <c:v>-163.91962007409182</c:v>
                </c:pt>
                <c:pt idx="397">
                  <c:v>-164.50014575606914</c:v>
                </c:pt>
                <c:pt idx="398">
                  <c:v>-165.07403114542274</c:v>
                </c:pt>
                <c:pt idx="399">
                  <c:v>-165.64147428310707</c:v>
                </c:pt>
                <c:pt idx="400">
                  <c:v>-166.20267555618395</c:v>
                </c:pt>
                <c:pt idx="401">
                  <c:v>-166.75783745267998</c:v>
                </c:pt>
                <c:pt idx="402">
                  <c:v>-167.3071643311967</c:v>
                </c:pt>
                <c:pt idx="403">
                  <c:v>-167.85086220468173</c:v>
                </c:pt>
                <c:pt idx="404">
                  <c:v>-168.38913853775375</c:v>
                </c:pt>
                <c:pt idx="405">
                  <c:v>-168.92220205694733</c:v>
                </c:pt>
                <c:pt idx="406">
                  <c:v>-169.45026257323471</c:v>
                </c:pt>
                <c:pt idx="407">
                  <c:v>-169.97353081616228</c:v>
                </c:pt>
                <c:pt idx="408">
                  <c:v>-170.49221827893936</c:v>
                </c:pt>
                <c:pt idx="409">
                  <c:v>-171.00653707380295</c:v>
                </c:pt>
                <c:pt idx="410">
                  <c:v>-171.51669979698482</c:v>
                </c:pt>
                <c:pt idx="411">
                  <c:v>-172.02291940260034</c:v>
                </c:pt>
                <c:pt idx="412">
                  <c:v>-172.525409084785</c:v>
                </c:pt>
                <c:pt idx="413">
                  <c:v>-173.02438216739884</c:v>
                </c:pt>
                <c:pt idx="414">
                  <c:v>-173.52005200062919</c:v>
                </c:pt>
                <c:pt idx="415">
                  <c:v>-174.01263186381902</c:v>
                </c:pt>
                <c:pt idx="416">
                  <c:v>-174.50233487385887</c:v>
                </c:pt>
                <c:pt idx="417">
                  <c:v>-174.98937389847873</c:v>
                </c:pt>
                <c:pt idx="418">
                  <c:v>-175.47396147378754</c:v>
                </c:pt>
                <c:pt idx="419">
                  <c:v>-175.95630972540812</c:v>
                </c:pt>
                <c:pt idx="420">
                  <c:v>-176.43663029256436</c:v>
                </c:pt>
                <c:pt idx="421">
                  <c:v>-176.91513425448113</c:v>
                </c:pt>
                <c:pt idx="422">
                  <c:v>-177.39203205846147</c:v>
                </c:pt>
                <c:pt idx="423">
                  <c:v>-177.86753344901496</c:v>
                </c:pt>
                <c:pt idx="424">
                  <c:v>-178.34184739740979</c:v>
                </c:pt>
                <c:pt idx="425">
                  <c:v>-178.81518203103181</c:v>
                </c:pt>
                <c:pt idx="426">
                  <c:v>-179.28774456193557</c:v>
                </c:pt>
                <c:pt idx="427">
                  <c:v>-179.75974121397513</c:v>
                </c:pt>
                <c:pt idx="428">
                  <c:v>179.76862285209</c:v>
                </c:pt>
                <c:pt idx="429">
                  <c:v>179.29714361611164</c:v>
                </c:pt>
                <c:pt idx="430">
                  <c:v>178.82561827929609</c:v>
                </c:pt>
                <c:pt idx="431">
                  <c:v>178.35384534875743</c:v>
                </c:pt>
                <c:pt idx="432">
                  <c:v>177.88162472647309</c:v>
                </c:pt>
                <c:pt idx="433">
                  <c:v>177.40875780321602</c:v>
                </c:pt>
                <c:pt idx="434">
                  <c:v>176.93504755804045</c:v>
                </c:pt>
                <c:pt idx="435">
                  <c:v>176.46029866388358</c:v>
                </c:pt>
                <c:pt idx="436">
                  <c:v>175.9843175998374</c:v>
                </c:pt>
                <c:pt idx="437">
                  <c:v>175.50691277063638</c:v>
                </c:pt>
                <c:pt idx="438">
                  <c:v>175.02789463389013</c:v>
                </c:pt>
                <c:pt idx="439">
                  <c:v>174.54707583557587</c:v>
                </c:pt>
                <c:pt idx="440">
                  <c:v>174.06427135428967</c:v>
                </c:pt>
                <c:pt idx="441">
                  <c:v>173.5792986547296</c:v>
                </c:pt>
                <c:pt idx="442">
                  <c:v>173.09197785086437</c:v>
                </c:pt>
                <c:pt idx="443">
                  <c:v>172.60213187921005</c:v>
                </c:pt>
                <c:pt idx="444">
                  <c:v>172.10958668260508</c:v>
                </c:pt>
                <c:pt idx="445">
                  <c:v>171.61417140483593</c:v>
                </c:pt>
                <c:pt idx="446">
                  <c:v>171.11571859642703</c:v>
                </c:pt>
                <c:pt idx="447">
                  <c:v>170.61406443185473</c:v>
                </c:pt>
                <c:pt idx="448">
                  <c:v>170.10904893839623</c:v>
                </c:pt>
                <c:pt idx="449">
                  <c:v>169.60051623676071</c:v>
                </c:pt>
                <c:pt idx="450">
                  <c:v>169.08831479358335</c:v>
                </c:pt>
                <c:pt idx="451">
                  <c:v>168.57229768579094</c:v>
                </c:pt>
                <c:pt idx="452">
                  <c:v>168.05232287675923</c:v>
                </c:pt>
                <c:pt idx="453">
                  <c:v>167.52825350409785</c:v>
                </c:pt>
                <c:pt idx="454">
                  <c:v>166.99995817880006</c:v>
                </c:pt>
                <c:pt idx="455">
                  <c:v>166.46731129538014</c:v>
                </c:pt>
                <c:pt idx="456">
                  <c:v>165.93019335251975</c:v>
                </c:pt>
                <c:pt idx="457">
                  <c:v>165.38849128360613</c:v>
                </c:pt>
                <c:pt idx="458">
                  <c:v>164.84209879642449</c:v>
                </c:pt>
                <c:pt idx="459">
                  <c:v>164.29091672112332</c:v>
                </c:pt>
                <c:pt idx="460">
                  <c:v>163.73485336542225</c:v>
                </c:pt>
                <c:pt idx="461">
                  <c:v>163.17382487588549</c:v>
                </c:pt>
                <c:pt idx="462">
                  <c:v>162.60775560391528</c:v>
                </c:pt>
                <c:pt idx="463">
                  <c:v>162.03657847496291</c:v>
                </c:pt>
                <c:pt idx="464">
                  <c:v>161.46023535928379</c:v>
                </c:pt>
                <c:pt idx="465">
                  <c:v>160.87867744239512</c:v>
                </c:pt>
                <c:pt idx="466">
                  <c:v>160.29186559322295</c:v>
                </c:pt>
                <c:pt idx="467">
                  <c:v>159.69977072775663</c:v>
                </c:pt>
                <c:pt idx="468">
                  <c:v>159.10237416587125</c:v>
                </c:pt>
                <c:pt idx="469">
                  <c:v>158.49966797880995</c:v>
                </c:pt>
                <c:pt idx="470">
                  <c:v>157.89165532468064</c:v>
                </c:pt>
                <c:pt idx="471">
                  <c:v>157.27835076917984</c:v>
                </c:pt>
                <c:pt idx="472">
                  <c:v>156.65978058863743</c:v>
                </c:pt>
                <c:pt idx="473">
                  <c:v>156.03598305237256</c:v>
                </c:pt>
                <c:pt idx="474">
                  <c:v>155.4070086812749</c:v>
                </c:pt>
                <c:pt idx="475">
                  <c:v>154.77292047946207</c:v>
                </c:pt>
                <c:pt idx="476">
                  <c:v>154.13379413585113</c:v>
                </c:pt>
                <c:pt idx="477">
                  <c:v>153.4897181924668</c:v>
                </c:pt>
                <c:pt idx="478">
                  <c:v>152.84079417637253</c:v>
                </c:pt>
                <c:pt idx="479">
                  <c:v>152.18713669216726</c:v>
                </c:pt>
                <c:pt idx="480">
                  <c:v>151.52887347211532</c:v>
                </c:pt>
                <c:pt idx="481">
                  <c:v>150.86614538114088</c:v>
                </c:pt>
                <c:pt idx="482">
                  <c:v>150.19910637410308</c:v>
                </c:pt>
                <c:pt idx="483">
                  <c:v>149.52792340302952</c:v>
                </c:pt>
                <c:pt idx="484">
                  <c:v>148.85277627226307</c:v>
                </c:pt>
                <c:pt idx="485">
                  <c:v>148.17385743980361</c:v>
                </c:pt>
                <c:pt idx="486">
                  <c:v>147.49137176351235</c:v>
                </c:pt>
                <c:pt idx="487">
                  <c:v>146.80553619123393</c:v>
                </c:pt>
                <c:pt idx="488">
                  <c:v>146.11657939435491</c:v>
                </c:pt>
                <c:pt idx="489">
                  <c:v>145.42474134477496</c:v>
                </c:pt>
                <c:pt idx="490">
                  <c:v>144.7302728357769</c:v>
                </c:pt>
                <c:pt idx="491">
                  <c:v>144.03343494779048</c:v>
                </c:pt>
                <c:pt idx="492">
                  <c:v>143.33449846057906</c:v>
                </c:pt>
                <c:pt idx="493">
                  <c:v>142.63374321391024</c:v>
                </c:pt>
                <c:pt idx="494">
                  <c:v>141.93145741930098</c:v>
                </c:pt>
                <c:pt idx="495">
                  <c:v>141.22793692594701</c:v>
                </c:pt>
                <c:pt idx="496">
                  <c:v>140.52348444444075</c:v>
                </c:pt>
                <c:pt idx="497">
                  <c:v>139.81840873235967</c:v>
                </c:pt>
                <c:pt idx="498">
                  <c:v>139.11302374623074</c:v>
                </c:pt>
                <c:pt idx="499">
                  <c:v>138.40764776476638</c:v>
                </c:pt>
                <c:pt idx="500">
                  <c:v>137.70260248861422</c:v>
                </c:pt>
                <c:pt idx="501">
                  <c:v>136.99821212212461</c:v>
                </c:pt>
                <c:pt idx="502">
                  <c:v>136.29480244287504</c:v>
                </c:pt>
                <c:pt idx="503">
                  <c:v>135.59269986482158</c:v>
                </c:pt>
                <c:pt idx="504">
                  <c:v>134.89223050104471</c:v>
                </c:pt>
                <c:pt idx="505">
                  <c:v>134.19371923204881</c:v>
                </c:pt>
                <c:pt idx="506">
                  <c:v>133.49748878552003</c:v>
                </c:pt>
                <c:pt idx="507">
                  <c:v>132.80385883331547</c:v>
                </c:pt>
                <c:pt idx="508">
                  <c:v>132.11314511124357</c:v>
                </c:pt>
                <c:pt idx="509">
                  <c:v>131.42565856694233</c:v>
                </c:pt>
                <c:pt idx="510">
                  <c:v>130.74170454082972</c:v>
                </c:pt>
                <c:pt idx="511">
                  <c:v>130.06158198472724</c:v>
                </c:pt>
                <c:pt idx="512">
                  <c:v>129.38558272233033</c:v>
                </c:pt>
                <c:pt idx="513">
                  <c:v>128.71399075523672</c:v>
                </c:pt>
                <c:pt idx="514">
                  <c:v>128.04708161776338</c:v>
                </c:pt>
                <c:pt idx="515">
                  <c:v>127.38512178324504</c:v>
                </c:pt>
                <c:pt idx="516">
                  <c:v>126.72836812400323</c:v>
                </c:pt>
                <c:pt idx="517">
                  <c:v>126.07706742662447</c:v>
                </c:pt>
                <c:pt idx="518">
                  <c:v>125.4314559636658</c:v>
                </c:pt>
                <c:pt idx="519">
                  <c:v>124.79175912237518</c:v>
                </c:pt>
                <c:pt idx="520">
                  <c:v>124.15819109052407</c:v>
                </c:pt>
                <c:pt idx="521">
                  <c:v>123.53095459895418</c:v>
                </c:pt>
                <c:pt idx="522">
                  <c:v>122.91024072000835</c:v>
                </c:pt>
                <c:pt idx="523">
                  <c:v>122.29622872057692</c:v>
                </c:pt>
                <c:pt idx="524">
                  <c:v>121.68908596813117</c:v>
                </c:pt>
                <c:pt idx="525">
                  <c:v>121.08896788776555</c:v>
                </c:pt>
                <c:pt idx="526">
                  <c:v>120.49601796797236</c:v>
                </c:pt>
                <c:pt idx="527">
                  <c:v>119.9103678126239</c:v>
                </c:pt>
                <c:pt idx="528">
                  <c:v>119.33213723642655</c:v>
                </c:pt>
                <c:pt idx="529">
                  <c:v>118.76143440093102</c:v>
                </c:pt>
                <c:pt idx="530">
                  <c:v>118.19835598808146</c:v>
                </c:pt>
                <c:pt idx="531">
                  <c:v>117.6429874081704</c:v>
                </c:pt>
                <c:pt idx="532">
                  <c:v>117.09540303904483</c:v>
                </c:pt>
                <c:pt idx="533">
                  <c:v>116.55566649337685</c:v>
                </c:pt>
                <c:pt idx="534">
                  <c:v>116.02383091084202</c:v>
                </c:pt>
                <c:pt idx="535">
                  <c:v>115.49993927209313</c:v>
                </c:pt>
                <c:pt idx="536">
                  <c:v>114.98402473149112</c:v>
                </c:pt>
                <c:pt idx="537">
                  <c:v>114.47611096564955</c:v>
                </c:pt>
                <c:pt idx="538">
                  <c:v>113.97621253497191</c:v>
                </c:pt>
                <c:pt idx="539">
                  <c:v>113.48433525548131</c:v>
                </c:pt>
                <c:pt idx="540">
                  <c:v>113.00047657839914</c:v>
                </c:pt>
                <c:pt idx="541">
                  <c:v>112.52462597507089</c:v>
                </c:pt>
              </c:numCache>
            </c:numRef>
          </c:yVal>
          <c:smooth val="1"/>
          <c:extLst>
            <c:ext xmlns:c16="http://schemas.microsoft.com/office/drawing/2014/chart" uri="{C3380CC4-5D6E-409C-BE32-E72D297353CC}">
              <c16:uniqueId val="{00000001-0FB9-4663-91DF-5C8FC461A7AF}"/>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tx>
            <c:v>Gain(dB)</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Control_Loop_Tables!$BC$19:$BC$560</c:f>
              <c:numCache>
                <c:formatCode>General</c:formatCode>
                <c:ptCount val="542"/>
                <c:pt idx="0">
                  <c:v>23.050079732241535</c:v>
                </c:pt>
                <c:pt idx="1">
                  <c:v>22.851214183208839</c:v>
                </c:pt>
                <c:pt idx="2">
                  <c:v>22.652401781258575</c:v>
                </c:pt>
                <c:pt idx="3">
                  <c:v>22.453645000651864</c:v>
                </c:pt>
                <c:pt idx="4">
                  <c:v>22.25494642934509</c:v>
                </c:pt>
                <c:pt idx="5">
                  <c:v>22.056308774071361</c:v>
                </c:pt>
                <c:pt idx="6">
                  <c:v>21.857734865635322</c:v>
                </c:pt>
                <c:pt idx="7">
                  <c:v>21.659227664429167</c:v>
                </c:pt>
                <c:pt idx="8">
                  <c:v>21.460790266176758</c:v>
                </c:pt>
                <c:pt idx="9">
                  <c:v>21.262425907914547</c:v>
                </c:pt>
                <c:pt idx="10">
                  <c:v>21.064137974218056</c:v>
                </c:pt>
                <c:pt idx="11">
                  <c:v>20.865930003679996</c:v>
                </c:pt>
                <c:pt idx="12">
                  <c:v>20.667805695649552</c:v>
                </c:pt>
                <c:pt idx="13">
                  <c:v>20.46976891724097</c:v>
                </c:pt>
                <c:pt idx="14">
                  <c:v>20.271823710619085</c:v>
                </c:pt>
                <c:pt idx="15">
                  <c:v>20.073974300571212</c:v>
                </c:pt>
                <c:pt idx="16">
                  <c:v>19.876225102371354</c:v>
                </c:pt>
                <c:pt idx="17">
                  <c:v>19.678580729947512</c:v>
                </c:pt>
                <c:pt idx="18">
                  <c:v>19.48104600435796</c:v>
                </c:pt>
                <c:pt idx="19">
                  <c:v>19.283625962585347</c:v>
                </c:pt>
                <c:pt idx="20">
                  <c:v>19.086325866655869</c:v>
                </c:pt>
                <c:pt idx="21">
                  <c:v>18.889151213090649</c:v>
                </c:pt>
                <c:pt idx="22">
                  <c:v>18.692107742696756</c:v>
                </c:pt>
                <c:pt idx="23">
                  <c:v>18.495201450703512</c:v>
                </c:pt>
                <c:pt idx="24">
                  <c:v>18.298438597251273</c:v>
                </c:pt>
                <c:pt idx="25">
                  <c:v>18.101825718236576</c:v>
                </c:pt>
                <c:pt idx="26">
                  <c:v>17.90536963652006</c:v>
                </c:pt>
                <c:pt idx="27">
                  <c:v>17.709077473499562</c:v>
                </c:pt>
                <c:pt idx="28">
                  <c:v>17.512956661052403</c:v>
                </c:pt>
                <c:pt idx="29">
                  <c:v>17.317014953848606</c:v>
                </c:pt>
                <c:pt idx="30">
                  <c:v>17.121260442035606</c:v>
                </c:pt>
                <c:pt idx="31">
                  <c:v>16.925701564294158</c:v>
                </c:pt>
                <c:pt idx="32">
                  <c:v>16.730347121264039</c:v>
                </c:pt>
                <c:pt idx="33">
                  <c:v>16.535206289334806</c:v>
                </c:pt>
                <c:pt idx="34">
                  <c:v>16.340288634797449</c:v>
                </c:pt>
                <c:pt idx="35">
                  <c:v>16.145604128348786</c:v>
                </c:pt>
                <c:pt idx="36">
                  <c:v>15.951163159939254</c:v>
                </c:pt>
                <c:pt idx="37">
                  <c:v>15.756976553952306</c:v>
                </c:pt>
                <c:pt idx="38">
                  <c:v>15.563055584700011</c:v>
                </c:pt>
                <c:pt idx="39">
                  <c:v>15.369411992218279</c:v>
                </c:pt>
                <c:pt idx="40">
                  <c:v>15.176057998340212</c:v>
                </c:pt>
                <c:pt idx="41">
                  <c:v>14.983006323023098</c:v>
                </c:pt>
                <c:pt idx="42">
                  <c:v>14.790270200902178</c:v>
                </c:pt>
                <c:pt idx="43">
                  <c:v>14.59786339803822</c:v>
                </c:pt>
                <c:pt idx="44">
                  <c:v>14.40580022882269</c:v>
                </c:pt>
                <c:pt idx="45">
                  <c:v>14.214095572999971</c:v>
                </c:pt>
                <c:pt idx="46">
                  <c:v>14.022764892760172</c:v>
                </c:pt>
                <c:pt idx="47">
                  <c:v>13.831824249851319</c:v>
                </c:pt>
                <c:pt idx="48">
                  <c:v>13.641290322654145</c:v>
                </c:pt>
                <c:pt idx="49">
                  <c:v>13.451180423155924</c:v>
                </c:pt>
                <c:pt idx="50">
                  <c:v>13.261512513754557</c:v>
                </c:pt>
                <c:pt idx="51">
                  <c:v>13.072305223816469</c:v>
                </c:pt>
                <c:pt idx="52">
                  <c:v>12.883577865905515</c:v>
                </c:pt>
                <c:pt idx="53">
                  <c:v>12.695350451591988</c:v>
                </c:pt>
                <c:pt idx="54">
                  <c:v>12.507643706744688</c:v>
                </c:pt>
                <c:pt idx="55">
                  <c:v>12.320479086199265</c:v>
                </c:pt>
                <c:pt idx="56">
                  <c:v>12.133878787689397</c:v>
                </c:pt>
                <c:pt idx="57">
                  <c:v>11.947865764918726</c:v>
                </c:pt>
                <c:pt idx="58">
                  <c:v>11.762463739642488</c:v>
                </c:pt>
                <c:pt idx="59">
                  <c:v>11.577697212620631</c:v>
                </c:pt>
                <c:pt idx="60">
                  <c:v>11.393591473294292</c:v>
                </c:pt>
                <c:pt idx="61">
                  <c:v>11.210172608030099</c:v>
                </c:pt>
                <c:pt idx="62">
                  <c:v>11.027467506768636</c:v>
                </c:pt>
                <c:pt idx="63">
                  <c:v>10.845503867904744</c:v>
                </c:pt>
                <c:pt idx="64">
                  <c:v>10.664310201220854</c:v>
                </c:pt>
                <c:pt idx="65">
                  <c:v>10.483915828687312</c:v>
                </c:pt>
                <c:pt idx="66">
                  <c:v>10.304350882936763</c:v>
                </c:pt>
                <c:pt idx="67">
                  <c:v>10.1256463032156</c:v>
                </c:pt>
                <c:pt idx="68">
                  <c:v>9.9478338286100545</c:v>
                </c:pt>
                <c:pt idx="69">
                  <c:v>9.7709459883422838</c:v>
                </c:pt>
                <c:pt idx="70">
                  <c:v>9.5950160889287837</c:v>
                </c:pt>
                <c:pt idx="71">
                  <c:v>9.4200781979955348</c:v>
                </c:pt>
                <c:pt idx="72">
                  <c:v>9.2461671245435628</c:v>
                </c:pt>
                <c:pt idx="73">
                  <c:v>9.0733183954638168</c:v>
                </c:pt>
                <c:pt idx="74">
                  <c:v>8.9015682281065285</c:v>
                </c:pt>
                <c:pt idx="75">
                  <c:v>8.7309534987170654</c:v>
                </c:pt>
                <c:pt idx="76">
                  <c:v>8.5615117065631008</c:v>
                </c:pt>
                <c:pt idx="77">
                  <c:v>8.3932809335910932</c:v>
                </c:pt>
                <c:pt idx="78">
                  <c:v>8.2262997994666449</c:v>
                </c:pt>
                <c:pt idx="79">
                  <c:v>8.0606074118744981</c:v>
                </c:pt>
                <c:pt idx="80">
                  <c:v>7.8962433119764128</c:v>
                </c:pt>
                <c:pt idx="81">
                  <c:v>7.7332474149524817</c:v>
                </c:pt>
                <c:pt idx="82">
                  <c:v>7.5716599455821729</c:v>
                </c:pt>
                <c:pt idx="83">
                  <c:v>7.4115213688532045</c:v>
                </c:pt>
                <c:pt idx="84">
                  <c:v>7.2528723156261439</c:v>
                </c:pt>
                <c:pt idx="85">
                  <c:v>7.0957535034207506</c:v>
                </c:pt>
                <c:pt idx="86">
                  <c:v>6.9402056524339129</c:v>
                </c:pt>
                <c:pt idx="87">
                  <c:v>6.7862693969458423</c:v>
                </c:pt>
                <c:pt idx="88">
                  <c:v>6.6339851923184305</c:v>
                </c:pt>
                <c:pt idx="89">
                  <c:v>6.4833932178413978</c:v>
                </c:pt>
                <c:pt idx="90">
                  <c:v>6.334533275732797</c:v>
                </c:pt>
                <c:pt idx="91">
                  <c:v>6.1874446866537625</c:v>
                </c:pt>
                <c:pt idx="92">
                  <c:v>6.0421661821499084</c:v>
                </c:pt>
                <c:pt idx="93">
                  <c:v>5.8987357944858747</c:v>
                </c:pt>
                <c:pt idx="94">
                  <c:v>5.7571907443878487</c:v>
                </c:pt>
                <c:pt idx="95">
                  <c:v>5.6175673272612059</c:v>
                </c:pt>
                <c:pt idx="96">
                  <c:v>5.4799007984940795</c:v>
                </c:pt>
                <c:pt idx="97">
                  <c:v>5.3442252585004404</c:v>
                </c:pt>
                <c:pt idx="98">
                  <c:v>5.2105735381940042</c:v>
                </c:pt>
                <c:pt idx="99">
                  <c:v>5.0789770856153895</c:v>
                </c:pt>
                <c:pt idx="100">
                  <c:v>4.949465854458758</c:v>
                </c:pt>
                <c:pt idx="101">
                  <c:v>4.8220681952641096</c:v>
                </c:pt>
                <c:pt idx="102">
                  <c:v>4.6968107500483702</c:v>
                </c:pt>
                <c:pt idx="103">
                  <c:v>4.5737183511502639</c:v>
                </c:pt>
                <c:pt idx="104">
                  <c:v>4.4528139250561667</c:v>
                </c:pt>
                <c:pt idx="105">
                  <c:v>4.3341184019549104</c:v>
                </c:pt>
                <c:pt idx="106">
                  <c:v>4.2176506317433864</c:v>
                </c:pt>
                <c:pt idx="107">
                  <c:v>4.1034273071673111</c:v>
                </c:pt>
                <c:pt idx="108">
                  <c:v>3.9914628947349868</c:v>
                </c:pt>
                <c:pt idx="109">
                  <c:v>3.8817695739864622</c:v>
                </c:pt>
                <c:pt idx="110">
                  <c:v>3.7743571856388498</c:v>
                </c:pt>
                <c:pt idx="111">
                  <c:v>3.6692331890538066</c:v>
                </c:pt>
                <c:pt idx="112">
                  <c:v>3.5664026293981559</c:v>
                </c:pt>
                <c:pt idx="113">
                  <c:v>3.4658681147843668</c:v>
                </c:pt>
                <c:pt idx="114">
                  <c:v>3.3676298035891645</c:v>
                </c:pt>
                <c:pt idx="115">
                  <c:v>3.2716854020583206</c:v>
                </c:pt>
                <c:pt idx="116">
                  <c:v>3.1780301722125648</c:v>
                </c:pt>
                <c:pt idx="117">
                  <c:v>3.0866569499773928</c:v>
                </c:pt>
                <c:pt idx="118">
                  <c:v>2.997556173367105</c:v>
                </c:pt>
                <c:pt idx="119">
                  <c:v>2.9107159204649733</c:v>
                </c:pt>
                <c:pt idx="120">
                  <c:v>2.8261219568555207</c:v>
                </c:pt>
                <c:pt idx="121">
                  <c:v>2.7437577920859777</c:v>
                </c:pt>
                <c:pt idx="122">
                  <c:v>2.6636047446589877</c:v>
                </c:pt>
                <c:pt idx="123">
                  <c:v>2.5856420149932613</c:v>
                </c:pt>
                <c:pt idx="124">
                  <c:v>2.5098467657296757</c:v>
                </c:pt>
                <c:pt idx="125">
                  <c:v>2.4361942087117283</c:v>
                </c:pt>
                <c:pt idx="126">
                  <c:v>2.364657697927611</c:v>
                </c:pt>
                <c:pt idx="127">
                  <c:v>2.2952088276722056</c:v>
                </c:pt>
                <c:pt idx="128">
                  <c:v>2.2278175351634393</c:v>
                </c:pt>
                <c:pt idx="129">
                  <c:v>2.1624522068388128</c:v>
                </c:pt>
                <c:pt idx="130">
                  <c:v>2.0990797875526566</c:v>
                </c:pt>
                <c:pt idx="131">
                  <c:v>2.0376658919028774</c:v>
                </c:pt>
                <c:pt idx="132">
                  <c:v>1.9781749169300935</c:v>
                </c:pt>
                <c:pt idx="133">
                  <c:v>1.9205701554532411</c:v>
                </c:pt>
                <c:pt idx="134">
                  <c:v>1.8648139093376863</c:v>
                </c:pt>
                <c:pt idx="135">
                  <c:v>1.8108676020230408</c:v>
                </c:pt>
                <c:pt idx="136">
                  <c:v>1.7586918896826167</c:v>
                </c:pt>
                <c:pt idx="137">
                  <c:v>1.7082467704274773</c:v>
                </c:pt>
                <c:pt idx="138">
                  <c:v>1.6594916910184225</c:v>
                </c:pt>
                <c:pt idx="139">
                  <c:v>1.6123856505976479</c:v>
                </c:pt>
                <c:pt idx="140">
                  <c:v>1.5668873010068105</c:v>
                </c:pt>
                <c:pt idx="141">
                  <c:v>1.5229550433069459</c:v>
                </c:pt>
                <c:pt idx="142">
                  <c:v>1.4805471201731615</c:v>
                </c:pt>
                <c:pt idx="143">
                  <c:v>1.4396217038849659</c:v>
                </c:pt>
                <c:pt idx="144">
                  <c:v>1.4001369796870364</c:v>
                </c:pt>
                <c:pt idx="145">
                  <c:v>1.3620512243430367</c:v>
                </c:pt>
                <c:pt idx="146">
                  <c:v>1.325322879751957</c:v>
                </c:pt>
                <c:pt idx="147">
                  <c:v>1.2899106215407286</c:v>
                </c:pt>
                <c:pt idx="148">
                  <c:v>1.255773422587974</c:v>
                </c:pt>
                <c:pt idx="149">
                  <c:v>1.2228706114728367</c:v>
                </c:pt>
                <c:pt idx="150">
                  <c:v>1.1911619258751946</c:v>
                </c:pt>
                <c:pt idx="151">
                  <c:v>1.160607560987323</c:v>
                </c:pt>
                <c:pt idx="152">
                  <c:v>1.1311682130241938</c:v>
                </c:pt>
                <c:pt idx="153">
                  <c:v>1.1028051179424228</c:v>
                </c:pt>
                <c:pt idx="154">
                  <c:v>1.0754800855025597</c:v>
                </c:pt>
                <c:pt idx="155">
                  <c:v>1.0491555288226437</c:v>
                </c:pt>
                <c:pt idx="156">
                  <c:v>1.023794489591054</c:v>
                </c:pt>
                <c:pt idx="157">
                  <c:v>0.99936065911318717</c:v>
                </c:pt>
                <c:pt idx="158">
                  <c:v>0.9758183953807098</c:v>
                </c:pt>
                <c:pt idx="159">
                  <c:v>0.9531327363545421</c:v>
                </c:pt>
                <c:pt idx="160">
                  <c:v>0.93126940966008165</c:v>
                </c:pt>
                <c:pt idx="161">
                  <c:v>0.91019483889390351</c:v>
                </c:pt>
                <c:pt idx="162">
                  <c:v>0.88987614674201343</c:v>
                </c:pt>
                <c:pt idx="163">
                  <c:v>0.87028115510794601</c:v>
                </c:pt>
                <c:pt idx="164">
                  <c:v>0.85137838244712538</c:v>
                </c:pt>
                <c:pt idx="165">
                  <c:v>0.83313703849869847</c:v>
                </c:pt>
                <c:pt idx="166">
                  <c:v>0.81552701660168936</c:v>
                </c:pt>
                <c:pt idx="167">
                  <c:v>0.79851888377620828</c:v>
                </c:pt>
                <c:pt idx="168">
                  <c:v>0.78208386874333558</c:v>
                </c:pt>
                <c:pt idx="169">
                  <c:v>0.76619384804975899</c:v>
                </c:pt>
                <c:pt idx="170">
                  <c:v>0.75082133045677479</c:v>
                </c:pt>
                <c:pt idx="171">
                  <c:v>0.73593943974226028</c:v>
                </c:pt>
                <c:pt idx="172">
                  <c:v>0.72152189606002326</c:v>
                </c:pt>
                <c:pt idx="173">
                  <c:v>0.70754299598812764</c:v>
                </c:pt>
                <c:pt idx="174">
                  <c:v>0.69397759139279425</c:v>
                </c:pt>
                <c:pt idx="175">
                  <c:v>0.68080106722362643</c:v>
                </c:pt>
                <c:pt idx="176">
                  <c:v>0.66798931834989306</c:v>
                </c:pt>
                <c:pt idx="177">
                  <c:v>0.65551872553712187</c:v>
                </c:pt>
                <c:pt idx="178">
                  <c:v>0.64336613065834491</c:v>
                </c:pt>
                <c:pt idx="179">
                  <c:v>0.63150881122330593</c:v>
                </c:pt>
                <c:pt idx="180">
                  <c:v>0.61992445430583509</c:v>
                </c:pt>
                <c:pt idx="181">
                  <c:v>0.60859112993897369</c:v>
                </c:pt>
                <c:pt idx="182">
                  <c:v>0.5974872640441582</c:v>
                </c:pt>
                <c:pt idx="183">
                  <c:v>0.58659161095214918</c:v>
                </c:pt>
                <c:pt idx="184">
                  <c:v>0.57588322557036098</c:v>
                </c:pt>
                <c:pt idx="185">
                  <c:v>0.56534143524335712</c:v>
                </c:pt>
                <c:pt idx="186">
                  <c:v>0.55494581135164878</c:v>
                </c:pt>
                <c:pt idx="187">
                  <c:v>0.54467614068626935</c:v>
                </c:pt>
                <c:pt idx="188">
                  <c:v>0.5345123966362304</c:v>
                </c:pt>
                <c:pt idx="189">
                  <c:v>0.52443471021968358</c:v>
                </c:pt>
                <c:pt idx="190">
                  <c:v>0.51442334098887388</c:v>
                </c:pt>
                <c:pt idx="191">
                  <c:v>0.50445864783475902</c:v>
                </c:pt>
                <c:pt idx="192">
                  <c:v>0.49452105971684213</c:v>
                </c:pt>
                <c:pt idx="193">
                  <c:v>0.48459104634112354</c:v>
                </c:pt>
                <c:pt idx="194">
                  <c:v>0.47464908880796691</c:v>
                </c:pt>
                <c:pt idx="195">
                  <c:v>0.46467565025204605</c:v>
                </c:pt>
                <c:pt idx="196">
                  <c:v>0.45465114649505944</c:v>
                </c:pt>
                <c:pt idx="197">
                  <c:v>0.44455591673341427</c:v>
                </c:pt>
                <c:pt idx="198">
                  <c:v>0.43437019428249896</c:v>
                </c:pt>
                <c:pt idx="199">
                  <c:v>0.42407407740185943</c:v>
                </c:pt>
                <c:pt idx="200">
                  <c:v>0.41364750022577745</c:v>
                </c:pt>
                <c:pt idx="201">
                  <c:v>0.40307020382691305</c:v>
                </c:pt>
                <c:pt idx="202">
                  <c:v>0.39232170744255551</c:v>
                </c:pt>
                <c:pt idx="203">
                  <c:v>0.3813812798964541</c:v>
                </c:pt>
                <c:pt idx="204">
                  <c:v>0.37022791125237425</c:v>
                </c:pt>
                <c:pt idx="205">
                  <c:v>0.35884028473955443</c:v>
                </c:pt>
                <c:pt idx="206">
                  <c:v>0.34719674899462083</c:v>
                </c:pt>
                <c:pt idx="207">
                  <c:v>0.33527529066927342</c:v>
                </c:pt>
                <c:pt idx="208">
                  <c:v>0.32305350745822736</c:v>
                </c:pt>
                <c:pt idx="209">
                  <c:v>0.31050858160779465</c:v>
                </c:pt>
                <c:pt idx="210">
                  <c:v>0.29761725397131589</c:v>
                </c:pt>
                <c:pt idx="211">
                  <c:v>0.28435579868432087</c:v>
                </c:pt>
                <c:pt idx="212">
                  <c:v>0.27069999853907112</c:v>
                </c:pt>
                <c:pt idx="213">
                  <c:v>0.25662512114548541</c:v>
                </c:pt>
                <c:pt idx="214">
                  <c:v>0.24210589597283502</c:v>
                </c:pt>
                <c:pt idx="215">
                  <c:v>0.22711649237468715</c:v>
                </c:pt>
                <c:pt idx="216">
                  <c:v>0.21163049870730924</c:v>
                </c:pt>
                <c:pt idx="217">
                  <c:v>0.19562090266040219</c:v>
                </c:pt>
                <c:pt idx="218">
                  <c:v>0.1790600729271436</c:v>
                </c:pt>
                <c:pt idx="219">
                  <c:v>0.16191974234914738</c:v>
                </c:pt>
                <c:pt idx="220">
                  <c:v>0.14417099268029129</c:v>
                </c:pt>
                <c:pt idx="221">
                  <c:v>0.12578424112164144</c:v>
                </c:pt>
                <c:pt idx="222">
                  <c:v>0.10672922878798106</c:v>
                </c:pt>
                <c:pt idx="223">
                  <c:v>8.697501127382877E-2</c:v>
                </c:pt>
                <c:pt idx="224">
                  <c:v>6.6489951494471067E-2</c:v>
                </c:pt>
                <c:pt idx="225">
                  <c:v>4.5241714983966057E-2</c:v>
                </c:pt>
                <c:pt idx="226">
                  <c:v>2.3197267837820112E-2</c:v>
                </c:pt>
                <c:pt idx="227">
                  <c:v>3.2287749343403132E-4</c:v>
                </c:pt>
                <c:pt idx="228">
                  <c:v>-2.3415883455380905E-2</c:v>
                </c:pt>
                <c:pt idx="229">
                  <c:v>-4.8054130210768375E-2</c:v>
                </c:pt>
                <c:pt idx="230">
                  <c:v>-7.3627655289692312E-2</c:v>
                </c:pt>
                <c:pt idx="231">
                  <c:v>-0.10017291441044436</c:v>
                </c:pt>
                <c:pt idx="232">
                  <c:v>-0.12772700854993141</c:v>
                </c:pt>
                <c:pt idx="233">
                  <c:v>-0.15632766198011344</c:v>
                </c:pt>
                <c:pt idx="234">
                  <c:v>-0.18601319609891118</c:v>
                </c:pt>
                <c:pt idx="235">
                  <c:v>-0.21682249888099903</c:v>
                </c:pt>
                <c:pt idx="236">
                  <c:v>-0.24879498978605141</c:v>
                </c:pt>
                <c:pt idx="237">
                  <c:v>-0.28197057997781122</c:v>
                </c:pt>
                <c:pt idx="238">
                  <c:v>-0.31638962772590729</c:v>
                </c:pt>
                <c:pt idx="239">
                  <c:v>-0.35209288888411877</c:v>
                </c:pt>
                <c:pt idx="240">
                  <c:v>-0.38912146236398504</c:v>
                </c:pt>
                <c:pt idx="241">
                  <c:v>-0.42751673055170014</c:v>
                </c:pt>
                <c:pt idx="242">
                  <c:v>-0.46732029464766478</c:v>
                </c:pt>
                <c:pt idx="243">
                  <c:v>-0.50857390494405808</c:v>
                </c:pt>
                <c:pt idx="244">
                  <c:v>-0.551319386094412</c:v>
                </c:pt>
                <c:pt idx="245">
                  <c:v>-0.59559855747099932</c:v>
                </c:pt>
                <c:pt idx="246">
                  <c:v>-0.6414531487506161</c:v>
                </c:pt>
                <c:pt idx="247">
                  <c:v>-0.68892471091694396</c:v>
                </c:pt>
                <c:pt idx="248">
                  <c:v>-0.73805452291680274</c:v>
                </c:pt>
                <c:pt idx="249">
                  <c:v>-0.78888349425935189</c:v>
                </c:pt>
                <c:pt idx="250">
                  <c:v>-0.84145206389919125</c:v>
                </c:pt>
                <c:pt idx="251">
                  <c:v>-0.89580009579768805</c:v>
                </c:pt>
                <c:pt idx="252">
                  <c:v>-0.95196677160915466</c:v>
                </c:pt>
                <c:pt idx="253">
                  <c:v>-1.009990480990685</c:v>
                </c:pt>
                <c:pt idx="254">
                  <c:v>-1.0699087100840547</c:v>
                </c:pt>
                <c:pt idx="255">
                  <c:v>-1.1317579287656838</c:v>
                </c:pt>
                <c:pt idx="256">
                  <c:v>-1.1955734773040965</c:v>
                </c:pt>
                <c:pt idx="257">
                  <c:v>-1.2613894531040888</c:v>
                </c:pt>
                <c:pt idx="258">
                  <c:v>-1.3292385982502462</c:v>
                </c:pt>
                <c:pt idx="259">
                  <c:v>-1.3991521885903058</c:v>
                </c:pt>
                <c:pt idx="260">
                  <c:v>-1.4711599251198164</c:v>
                </c:pt>
                <c:pt idx="261">
                  <c:v>-1.5452898284416847</c:v>
                </c:pt>
                <c:pt idx="262">
                  <c:v>-1.6215681370795545</c:v>
                </c:pt>
                <c:pt idx="263">
                  <c:v>-1.700019210418656</c:v>
                </c:pt>
                <c:pt idx="264">
                  <c:v>-1.7806654370343828</c:v>
                </c:pt>
                <c:pt idx="265">
                  <c:v>-1.8635271491452499</c:v>
                </c:pt>
                <c:pt idx="266">
                  <c:v>-1.9486225438941438</c:v>
                </c:pt>
                <c:pt idx="267">
                  <c:v>-2.0359676121190318</c:v>
                </c:pt>
                <c:pt idx="268">
                  <c:v>-2.1255760752230826</c:v>
                </c:pt>
                <c:pt idx="269">
                  <c:v>-2.2174593306935213</c:v>
                </c:pt>
                <c:pt idx="270">
                  <c:v>-2.3116264067508649</c:v>
                </c:pt>
                <c:pt idx="271">
                  <c:v>-2.4080839265346348</c:v>
                </c:pt>
                <c:pt idx="272">
                  <c:v>-2.5068360821502953</c:v>
                </c:pt>
                <c:pt idx="273">
                  <c:v>-2.6078846188165059</c:v>
                </c:pt>
                <c:pt idx="274">
                  <c:v>-2.7112288292612421</c:v>
                </c:pt>
                <c:pt idx="275">
                  <c:v>-2.816865558424086</c:v>
                </c:pt>
                <c:pt idx="276">
                  <c:v>-2.9247892184284714</c:v>
                </c:pt>
                <c:pt idx="277">
                  <c:v>-3.0349918136951959</c:v>
                </c:pt>
                <c:pt idx="278">
                  <c:v>-3.1474629759796109</c:v>
                </c:pt>
                <c:pt idx="279">
                  <c:v>-3.2621900090253151</c:v>
                </c:pt>
                <c:pt idx="280">
                  <c:v>-3.3791579424476654</c:v>
                </c:pt>
                <c:pt idx="281">
                  <c:v>-3.4983495943818239</c:v>
                </c:pt>
                <c:pt idx="282">
                  <c:v>-3.6197456423616998</c:v>
                </c:pt>
                <c:pt idx="283">
                  <c:v>-3.743324701833433</c:v>
                </c:pt>
                <c:pt idx="284">
                  <c:v>-3.8690634116546136</c:v>
                </c:pt>
                <c:pt idx="285">
                  <c:v>-3.9969365258855816</c:v>
                </c:pt>
                <c:pt idx="286">
                  <c:v>-4.126917011144112</c:v>
                </c:pt>
                <c:pt idx="287">
                  <c:v>-4.2589761487710547</c:v>
                </c:pt>
                <c:pt idx="288">
                  <c:v>-4.393083641035977</c:v>
                </c:pt>
                <c:pt idx="289">
                  <c:v>-4.5292077206088992</c:v>
                </c:pt>
                <c:pt idx="290">
                  <c:v>-4.6673152625245944</c:v>
                </c:pt>
                <c:pt idx="291">
                  <c:v>-4.8073718978776956</c:v>
                </c:pt>
                <c:pt idx="292">
                  <c:v>-4.9493421285070287</c:v>
                </c:pt>
                <c:pt idx="293">
                  <c:v>-5.0931894419528811</c:v>
                </c:pt>
                <c:pt idx="294">
                  <c:v>-5.2388764260043104</c:v>
                </c:pt>
                <c:pt idx="295">
                  <c:v>-5.3863648821917041</c:v>
                </c:pt>
                <c:pt idx="296">
                  <c:v>-5.5356159376234082</c:v>
                </c:pt>
                <c:pt idx="297">
                  <c:v>-5.6865901546108066</c:v>
                </c:pt>
                <c:pt idx="298">
                  <c:v>-5.8392476375776559</c:v>
                </c:pt>
                <c:pt idx="299">
                  <c:v>-5.9935481367988785</c:v>
                </c:pt>
                <c:pt idx="300">
                  <c:v>-6.1494511485689731</c:v>
                </c:pt>
                <c:pt idx="301">
                  <c:v>-6.3069160114510261</c:v>
                </c:pt>
                <c:pt idx="302">
                  <c:v>-6.4659019983122299</c:v>
                </c:pt>
                <c:pt idx="303">
                  <c:v>-6.6263684039015134</c:v>
                </c:pt>
                <c:pt idx="304">
                  <c:v>-6.7882746277759045</c:v>
                </c:pt>
                <c:pt idx="305">
                  <c:v>-6.9515802524306336</c:v>
                </c:pt>
                <c:pt idx="306">
                  <c:v>-7.1162451165319807</c:v>
                </c:pt>
                <c:pt idx="307">
                  <c:v>-7.2822293831963467</c:v>
                </c:pt>
                <c:pt idx="308">
                  <c:v>-7.4494936032970092</c:v>
                </c:pt>
                <c:pt idx="309">
                  <c:v>-7.6179987738171571</c:v>
                </c:pt>
                <c:pt idx="310">
                  <c:v>-7.7877063913009357</c:v>
                </c:pt>
                <c:pt idx="311">
                  <c:v>-7.9585785004825667</c:v>
                </c:pt>
                <c:pt idx="312">
                  <c:v>-8.1305777382011595</c:v>
                </c:pt>
                <c:pt idx="313">
                  <c:v>-8.3036673727304251</c:v>
                </c:pt>
                <c:pt idx="314">
                  <c:v>-8.4778113386724794</c:v>
                </c:pt>
                <c:pt idx="315">
                  <c:v>-8.6529742675808734</c:v>
                </c:pt>
                <c:pt idx="316">
                  <c:v>-8.8291215144919502</c:v>
                </c:pt>
                <c:pt idx="317">
                  <c:v>-9.0062191805527618</c:v>
                </c:pt>
                <c:pt idx="318">
                  <c:v>-9.1842341319435903</c:v>
                </c:pt>
                <c:pt idx="319">
                  <c:v>-9.3631340152965752</c:v>
                </c:pt>
                <c:pt idx="320">
                  <c:v>-9.5428872698169229</c:v>
                </c:pt>
                <c:pt idx="321">
                  <c:v>-9.7234631363132173</c:v>
                </c:pt>
                <c:pt idx="322">
                  <c:v>-9.9048316633433604</c:v>
                </c:pt>
                <c:pt idx="323">
                  <c:v>-10.086963710681015</c:v>
                </c:pt>
                <c:pt idx="324">
                  <c:v>-10.269830950304028</c:v>
                </c:pt>
                <c:pt idx="325">
                  <c:v>-10.45340586509969</c:v>
                </c:pt>
                <c:pt idx="326">
                  <c:v>-10.637661745479882</c:v>
                </c:pt>
                <c:pt idx="327">
                  <c:v>-10.822572684089772</c:v>
                </c:pt>
                <c:pt idx="328">
                  <c:v>-11.008113568787142</c:v>
                </c:pt>
                <c:pt idx="329">
                  <c:v>-11.194260074064232</c:v>
                </c:pt>
                <c:pt idx="330">
                  <c:v>-11.380988651071508</c:v>
                </c:pt>
                <c:pt idx="331">
                  <c:v>-11.568276516400189</c:v>
                </c:pt>
                <c:pt idx="332">
                  <c:v>-11.756101639766424</c:v>
                </c:pt>
                <c:pt idx="333">
                  <c:v>-11.944442730736737</c:v>
                </c:pt>
                <c:pt idx="334">
                  <c:v>-12.133279224620942</c:v>
                </c:pt>
                <c:pt idx="335">
                  <c:v>-12.322591267654929</c:v>
                </c:pt>
                <c:pt idx="336">
                  <c:v>-12.512359701583797</c:v>
                </c:pt>
                <c:pt idx="337">
                  <c:v>-12.702566047750722</c:v>
                </c:pt>
                <c:pt idx="338">
                  <c:v>-12.893192490786813</c:v>
                </c:pt>
                <c:pt idx="339">
                  <c:v>-13.084221861991258</c:v>
                </c:pt>
                <c:pt idx="340">
                  <c:v>-13.275637622482495</c:v>
                </c:pt>
                <c:pt idx="341">
                  <c:v>-13.467423846196438</c:v>
                </c:pt>
                <c:pt idx="342">
                  <c:v>-13.659565202797857</c:v>
                </c:pt>
                <c:pt idx="343">
                  <c:v>-13.852046940567721</c:v>
                </c:pt>
                <c:pt idx="344">
                  <c:v>-14.044854869321979</c:v>
                </c:pt>
                <c:pt idx="345">
                  <c:v>-14.237975343411868</c:v>
                </c:pt>
                <c:pt idx="346">
                  <c:v>-14.431395244850442</c:v>
                </c:pt>
                <c:pt idx="347">
                  <c:v>-14.625101966605264</c:v>
                </c:pt>
                <c:pt idx="348">
                  <c:v>-14.819083396093225</c:v>
                </c:pt>
                <c:pt idx="349">
                  <c:v>-15.013327898907484</c:v>
                </c:pt>
                <c:pt idx="350">
                  <c:v>-15.207824302804839</c:v>
                </c:pt>
                <c:pt idx="351">
                  <c:v>-15.402561881975513</c:v>
                </c:pt>
                <c:pt idx="352">
                  <c:v>-15.59753034161737</c:v>
                </c:pt>
                <c:pt idx="353">
                  <c:v>-15.792719802828826</c:v>
                </c:pt>
                <c:pt idx="354">
                  <c:v>-15.988120787837923</c:v>
                </c:pt>
                <c:pt idx="355">
                  <c:v>-16.183724205575196</c:v>
                </c:pt>
                <c:pt idx="356">
                  <c:v>-16.379521337602917</c:v>
                </c:pt>
                <c:pt idx="357">
                  <c:v>-16.575503824405406</c:v>
                </c:pt>
                <c:pt idx="358">
                  <c:v>-16.7716636520456</c:v>
                </c:pt>
                <c:pt idx="359">
                  <c:v>-16.967993139192661</c:v>
                </c:pt>
                <c:pt idx="360">
                  <c:v>-17.164484924519986</c:v>
                </c:pt>
                <c:pt idx="361">
                  <c:v>-17.361131954475166</c:v>
                </c:pt>
                <c:pt idx="362">
                  <c:v>-17.5579274714208</c:v>
                </c:pt>
                <c:pt idx="363">
                  <c:v>-17.754865002143148</c:v>
                </c:pt>
                <c:pt idx="364">
                  <c:v>-17.951938346726088</c:v>
                </c:pt>
                <c:pt idx="365">
                  <c:v>-18.149141567785744</c:v>
                </c:pt>
                <c:pt idx="366">
                  <c:v>-18.346468980061637</c:v>
                </c:pt>
                <c:pt idx="367">
                  <c:v>-18.543915140357548</c:v>
                </c:pt>
                <c:pt idx="368">
                  <c:v>-18.74147483782788</c:v>
                </c:pt>
                <c:pt idx="369">
                  <c:v>-18.939143084600495</c:v>
                </c:pt>
                <c:pt idx="370">
                  <c:v>-19.136915106731372</c:v>
                </c:pt>
                <c:pt idx="371">
                  <c:v>-19.334786335482292</c:v>
                </c:pt>
                <c:pt idx="372">
                  <c:v>-19.532752398914138</c:v>
                </c:pt>
                <c:pt idx="373">
                  <c:v>-19.730809113788734</c:v>
                </c:pt>
                <c:pt idx="374">
                  <c:v>-19.92895247776978</c:v>
                </c:pt>
                <c:pt idx="375">
                  <c:v>-20.127178661916744</c:v>
                </c:pt>
                <c:pt idx="376">
                  <c:v>-20.325484003461479</c:v>
                </c:pt>
                <c:pt idx="377">
                  <c:v>-20.523864998860887</c:v>
                </c:pt>
                <c:pt idx="378">
                  <c:v>-20.722318297116729</c:v>
                </c:pt>
                <c:pt idx="379">
                  <c:v>-20.92084069335418</c:v>
                </c:pt>
                <c:pt idx="380">
                  <c:v>-21.119429122651617</c:v>
                </c:pt>
                <c:pt idx="381">
                  <c:v>-21.318080654113164</c:v>
                </c:pt>
                <c:pt idx="382">
                  <c:v>-21.516792485176147</c:v>
                </c:pt>
                <c:pt idx="383">
                  <c:v>-21.715561936145264</c:v>
                </c:pt>
                <c:pt idx="384">
                  <c:v>-21.914386444946416</c:v>
                </c:pt>
                <c:pt idx="385">
                  <c:v>-22.113263562092136</c:v>
                </c:pt>
                <c:pt idx="386">
                  <c:v>-22.312190945850755</c:v>
                </c:pt>
                <c:pt idx="387">
                  <c:v>-22.511166357613376</c:v>
                </c:pt>
                <c:pt idx="388">
                  <c:v>-22.710187657450117</c:v>
                </c:pt>
                <c:pt idx="389">
                  <c:v>-22.909252799849344</c:v>
                </c:pt>
                <c:pt idx="390">
                  <c:v>-23.108359829633031</c:v>
                </c:pt>
                <c:pt idx="391">
                  <c:v>-23.307506878041782</c:v>
                </c:pt>
                <c:pt idx="392">
                  <c:v>-23.506692158982982</c:v>
                </c:pt>
                <c:pt idx="393">
                  <c:v>-23.705913965435773</c:v>
                </c:pt>
                <c:pt idx="394">
                  <c:v>-23.905170666007045</c:v>
                </c:pt>
                <c:pt idx="395">
                  <c:v>-24.104460701632291</c:v>
                </c:pt>
                <c:pt idx="396">
                  <c:v>-24.30378258241614</c:v>
                </c:pt>
                <c:pt idx="397">
                  <c:v>-24.503134884606325</c:v>
                </c:pt>
                <c:pt idx="398">
                  <c:v>-24.702516247696739</c:v>
                </c:pt>
                <c:pt idx="399">
                  <c:v>-24.901925371653647</c:v>
                </c:pt>
                <c:pt idx="400">
                  <c:v>-25.101361014260448</c:v>
                </c:pt>
                <c:pt idx="401">
                  <c:v>-25.300821988575994</c:v>
                </c:pt>
                <c:pt idx="402">
                  <c:v>-25.500307160502484</c:v>
                </c:pt>
                <c:pt idx="403">
                  <c:v>-25.699815446457336</c:v>
                </c:pt>
                <c:pt idx="404">
                  <c:v>-25.899345811146155</c:v>
                </c:pt>
                <c:pt idx="405">
                  <c:v>-26.098897265431077</c:v>
                </c:pt>
                <c:pt idx="406">
                  <c:v>-26.29846886429241</c:v>
                </c:pt>
                <c:pt idx="407">
                  <c:v>-26.498059704877406</c:v>
                </c:pt>
                <c:pt idx="408">
                  <c:v>-26.697668924635028</c:v>
                </c:pt>
                <c:pt idx="409">
                  <c:v>-26.897295699530922</c:v>
                </c:pt>
                <c:pt idx="410">
                  <c:v>-27.096939242340742</c:v>
                </c:pt>
                <c:pt idx="411">
                  <c:v>-27.296598801017737</c:v>
                </c:pt>
                <c:pt idx="412">
                  <c:v>-27.496273657131631</c:v>
                </c:pt>
                <c:pt idx="413">
                  <c:v>-27.695963124375997</c:v>
                </c:pt>
                <c:pt idx="414">
                  <c:v>-27.895666547140866</c:v>
                </c:pt>
                <c:pt idx="415">
                  <c:v>-28.095383299148043</c:v>
                </c:pt>
                <c:pt idx="416">
                  <c:v>-28.295112782146319</c:v>
                </c:pt>
                <c:pt idx="417">
                  <c:v>-28.494854424664222</c:v>
                </c:pt>
                <c:pt idx="418">
                  <c:v>-28.694607680817438</c:v>
                </c:pt>
                <c:pt idx="419">
                  <c:v>-28.89437202916892</c:v>
                </c:pt>
                <c:pt idx="420">
                  <c:v>-29.094146971639145</c:v>
                </c:pt>
                <c:pt idx="421">
                  <c:v>-29.293932032464966</c:v>
                </c:pt>
                <c:pt idx="422">
                  <c:v>-29.493726757203433</c:v>
                </c:pt>
                <c:pt idx="423">
                  <c:v>-29.693530711781047</c:v>
                </c:pt>
                <c:pt idx="424">
                  <c:v>-29.893343481583884</c:v>
                </c:pt>
                <c:pt idx="425">
                  <c:v>-30.093164670588482</c:v>
                </c:pt>
                <c:pt idx="426">
                  <c:v>-30.292993900531865</c:v>
                </c:pt>
                <c:pt idx="427">
                  <c:v>-30.492830810117244</c:v>
                </c:pt>
                <c:pt idx="428">
                  <c:v>-30.692675054255417</c:v>
                </c:pt>
                <c:pt idx="429">
                  <c:v>-30.892526303340674</c:v>
                </c:pt>
                <c:pt idx="430">
                  <c:v>-31.092384242557497</c:v>
                </c:pt>
                <c:pt idx="431">
                  <c:v>-31.292248571219154</c:v>
                </c:pt>
                <c:pt idx="432">
                  <c:v>-31.492119002135162</c:v>
                </c:pt>
                <c:pt idx="433">
                  <c:v>-31.69199526100725</c:v>
                </c:pt>
                <c:pt idx="434">
                  <c:v>-31.891877085851913</c:v>
                </c:pt>
                <c:pt idx="435">
                  <c:v>-32.091764226448902</c:v>
                </c:pt>
                <c:pt idx="436">
                  <c:v>-32.291656443814325</c:v>
                </c:pt>
                <c:pt idx="437">
                  <c:v>-32.49155350969702</c:v>
                </c:pt>
                <c:pt idx="438">
                  <c:v>-32.6914552060977</c:v>
                </c:pt>
                <c:pt idx="439">
                  <c:v>-32.891361324809317</c:v>
                </c:pt>
                <c:pt idx="440">
                  <c:v>-33.09127166697791</c:v>
                </c:pt>
                <c:pt idx="441">
                  <c:v>-33.291186042683513</c:v>
                </c:pt>
                <c:pt idx="442">
                  <c:v>-33.491104270539239</c:v>
                </c:pt>
                <c:pt idx="443">
                  <c:v>-33.691026177308558</c:v>
                </c:pt>
                <c:pt idx="444">
                  <c:v>-33.89095159753964</c:v>
                </c:pt>
                <c:pt idx="445">
                  <c:v>-34.090880373216152</c:v>
                </c:pt>
                <c:pt idx="446">
                  <c:v>-34.290812353423384</c:v>
                </c:pt>
                <c:pt idx="447">
                  <c:v>-34.49074739402981</c:v>
                </c:pt>
                <c:pt idx="448">
                  <c:v>-34.69068535738235</c:v>
                </c:pt>
                <c:pt idx="449">
                  <c:v>-34.890626112015639</c:v>
                </c:pt>
                <c:pt idx="450">
                  <c:v>-35.090569532374211</c:v>
                </c:pt>
                <c:pt idx="451">
                  <c:v>-35.290515498547187</c:v>
                </c:pt>
                <c:pt idx="452">
                  <c:v>-35.490463896014532</c:v>
                </c:pt>
                <c:pt idx="453">
                  <c:v>-35.690414615405366</c:v>
                </c:pt>
                <c:pt idx="454">
                  <c:v>-35.890367552266184</c:v>
                </c:pt>
                <c:pt idx="455">
                  <c:v>-36.090322606840573</c:v>
                </c:pt>
                <c:pt idx="456">
                  <c:v>-36.290279683857506</c:v>
                </c:pt>
                <c:pt idx="457">
                  <c:v>-36.490238692330401</c:v>
                </c:pt>
                <c:pt idx="458">
                  <c:v>-36.690199545364266</c:v>
                </c:pt>
                <c:pt idx="459">
                  <c:v>-36.890162159971979</c:v>
                </c:pt>
                <c:pt idx="460">
                  <c:v>-37.090126456898787</c:v>
                </c:pt>
                <c:pt idx="461">
                  <c:v>-37.290092360454167</c:v>
                </c:pt>
                <c:pt idx="462">
                  <c:v>-37.490059798352171</c:v>
                </c:pt>
                <c:pt idx="463">
                  <c:v>-37.690028701557942</c:v>
                </c:pt>
                <c:pt idx="464">
                  <c:v>-37.889999004141892</c:v>
                </c:pt>
                <c:pt idx="465">
                  <c:v>-38.089970643139914</c:v>
                </c:pt>
                <c:pt idx="466">
                  <c:v>-38.289943558420163</c:v>
                </c:pt>
                <c:pt idx="467">
                  <c:v>-38.489917692555757</c:v>
                </c:pt>
                <c:pt idx="468">
                  <c:v>-38.689892990702994</c:v>
                </c:pt>
                <c:pt idx="469">
                  <c:v>-38.889869400485495</c:v>
                </c:pt>
                <c:pt idx="470">
                  <c:v>-39.089846871882763</c:v>
                </c:pt>
                <c:pt idx="471">
                  <c:v>-39.289825357125046</c:v>
                </c:pt>
                <c:pt idx="472">
                  <c:v>-39.489804810591338</c:v>
                </c:pt>
                <c:pt idx="473">
                  <c:v>-39.68978518871306</c:v>
                </c:pt>
                <c:pt idx="474">
                  <c:v>-39.889766449881925</c:v>
                </c:pt>
                <c:pt idx="475">
                  <c:v>-40.089748554361549</c:v>
                </c:pt>
                <c:pt idx="476">
                  <c:v>-40.289731464203335</c:v>
                </c:pt>
                <c:pt idx="477">
                  <c:v>-40.489715143166059</c:v>
                </c:pt>
                <c:pt idx="478">
                  <c:v>-40.689699556639169</c:v>
                </c:pt>
                <c:pt idx="479">
                  <c:v>-40.88968467156927</c:v>
                </c:pt>
                <c:pt idx="480">
                  <c:v>-41.089670456390188</c:v>
                </c:pt>
                <c:pt idx="481">
                  <c:v>-41.289656880956009</c:v>
                </c:pt>
                <c:pt idx="482">
                  <c:v>-41.489643916477405</c:v>
                </c:pt>
                <c:pt idx="483">
                  <c:v>-41.689631535460251</c:v>
                </c:pt>
                <c:pt idx="484">
                  <c:v>-41.889619711647711</c:v>
                </c:pt>
                <c:pt idx="485">
                  <c:v>-42.089608419964279</c:v>
                </c:pt>
                <c:pt idx="486">
                  <c:v>-42.289597636462808</c:v>
                </c:pt>
                <c:pt idx="487">
                  <c:v>-42.489587338273921</c:v>
                </c:pt>
                <c:pt idx="488">
                  <c:v>-42.689577503557061</c:v>
                </c:pt>
                <c:pt idx="489">
                  <c:v>-42.889568111454537</c:v>
                </c:pt>
                <c:pt idx="490">
                  <c:v>-43.089559142047243</c:v>
                </c:pt>
                <c:pt idx="491">
                  <c:v>-43.289550576312479</c:v>
                </c:pt>
                <c:pt idx="492">
                  <c:v>-43.489542396083522</c:v>
                </c:pt>
                <c:pt idx="493">
                  <c:v>-43.689534584011071</c:v>
                </c:pt>
                <c:pt idx="494">
                  <c:v>-43.88952712352669</c:v>
                </c:pt>
                <c:pt idx="495">
                  <c:v>-44.089519998807411</c:v>
                </c:pt>
                <c:pt idx="496">
                  <c:v>-44.289513194742447</c:v>
                </c:pt>
                <c:pt idx="497">
                  <c:v>-44.489506696900818</c:v>
                </c:pt>
                <c:pt idx="498">
                  <c:v>-44.689500491501207</c:v>
                </c:pt>
                <c:pt idx="499">
                  <c:v>-44.889494565382265</c:v>
                </c:pt>
                <c:pt idx="500">
                  <c:v>-45.089488905975095</c:v>
                </c:pt>
                <c:pt idx="501">
                  <c:v>-45.28948350127628</c:v>
                </c:pt>
                <c:pt idx="502">
                  <c:v>-45.489478339822689</c:v>
                </c:pt>
                <c:pt idx="503">
                  <c:v>-45.689473410667077</c:v>
                </c:pt>
                <c:pt idx="504">
                  <c:v>-45.88946870335473</c:v>
                </c:pt>
                <c:pt idx="505">
                  <c:v>-46.089464207901628</c:v>
                </c:pt>
                <c:pt idx="506">
                  <c:v>-46.289459914772841</c:v>
                </c:pt>
                <c:pt idx="507">
                  <c:v>-46.489455814862779</c:v>
                </c:pt>
                <c:pt idx="508">
                  <c:v>-46.689451899475401</c:v>
                </c:pt>
                <c:pt idx="509">
                  <c:v>-46.889448160306188</c:v>
                </c:pt>
                <c:pt idx="510">
                  <c:v>-47.089444589424325</c:v>
                </c:pt>
                <c:pt idx="511">
                  <c:v>-47.289441179255824</c:v>
                </c:pt>
                <c:pt idx="512">
                  <c:v>-47.489437922567738</c:v>
                </c:pt>
                <c:pt idx="513">
                  <c:v>-47.68943481245244</c:v>
                </c:pt>
                <c:pt idx="514">
                  <c:v>-47.889431842313343</c:v>
                </c:pt>
                <c:pt idx="515">
                  <c:v>-48.089429005850619</c:v>
                </c:pt>
                <c:pt idx="516">
                  <c:v>-48.289426297047989</c:v>
                </c:pt>
                <c:pt idx="517">
                  <c:v>-48.489423710159983</c:v>
                </c:pt>
                <c:pt idx="518">
                  <c:v>-48.689421239699733</c:v>
                </c:pt>
                <c:pt idx="519">
                  <c:v>-48.889418880427151</c:v>
                </c:pt>
                <c:pt idx="520">
                  <c:v>-49.089416627338061</c:v>
                </c:pt>
                <c:pt idx="521">
                  <c:v>-49.289414475653722</c:v>
                </c:pt>
                <c:pt idx="522">
                  <c:v>-49.489412420810133</c:v>
                </c:pt>
                <c:pt idx="523">
                  <c:v>-49.689410458448705</c:v>
                </c:pt>
                <c:pt idx="524">
                  <c:v>-49.889408584407306</c:v>
                </c:pt>
                <c:pt idx="525">
                  <c:v>-50.089406794710925</c:v>
                </c:pt>
                <c:pt idx="526">
                  <c:v>-50.289405085563452</c:v>
                </c:pt>
                <c:pt idx="527">
                  <c:v>-50.489403453339762</c:v>
                </c:pt>
                <c:pt idx="528">
                  <c:v>-50.6894018945775</c:v>
                </c:pt>
                <c:pt idx="529">
                  <c:v>-50.889400405970697</c:v>
                </c:pt>
                <c:pt idx="530">
                  <c:v>-51.089398984361665</c:v>
                </c:pt>
                <c:pt idx="531">
                  <c:v>-51.289397626735237</c:v>
                </c:pt>
                <c:pt idx="532">
                  <c:v>-51.489396330211633</c:v>
                </c:pt>
                <c:pt idx="533">
                  <c:v>-51.689395092040812</c:v>
                </c:pt>
                <c:pt idx="534">
                  <c:v>-51.889393909596528</c:v>
                </c:pt>
                <c:pt idx="535">
                  <c:v>-52.089392780370794</c:v>
                </c:pt>
                <c:pt idx="536">
                  <c:v>-52.289391701968228</c:v>
                </c:pt>
                <c:pt idx="537">
                  <c:v>-52.489390672101514</c:v>
                </c:pt>
                <c:pt idx="538">
                  <c:v>-52.689389688586232</c:v>
                </c:pt>
                <c:pt idx="539">
                  <c:v>-52.88938874933627</c:v>
                </c:pt>
                <c:pt idx="540">
                  <c:v>-53.089387852359245</c:v>
                </c:pt>
                <c:pt idx="541">
                  <c:v>-53.289386995752714</c:v>
                </c:pt>
              </c:numCache>
            </c:numRef>
          </c:yVal>
          <c:smooth val="1"/>
          <c:extLst>
            <c:ext xmlns:c16="http://schemas.microsoft.com/office/drawing/2014/chart" uri="{C3380CC4-5D6E-409C-BE32-E72D297353CC}">
              <c16:uniqueId val="{00000000-10B5-49C9-9BB6-6633B6CD1AA0}"/>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tx>
            <c:v>Phase (Deg)</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Control_Loop_Tables!$BD$19:$BD$560</c:f>
              <c:numCache>
                <c:formatCode>General</c:formatCode>
                <c:ptCount val="542"/>
                <c:pt idx="0">
                  <c:v>94.162311845413512</c:v>
                </c:pt>
                <c:pt idx="1">
                  <c:v>94.258883459579934</c:v>
                </c:pt>
                <c:pt idx="2">
                  <c:v>94.357677391887734</c:v>
                </c:pt>
                <c:pt idx="3">
                  <c:v>94.458743482817368</c:v>
                </c:pt>
                <c:pt idx="4">
                  <c:v>94.562132598109784</c:v>
                </c:pt>
                <c:pt idx="5">
                  <c:v>94.667896643176562</c:v>
                </c:pt>
                <c:pt idx="6">
                  <c:v>94.776088577196802</c:v>
                </c:pt>
                <c:pt idx="7">
                  <c:v>94.886762426849572</c:v>
                </c:pt>
                <c:pt idx="8">
                  <c:v>94.999973299628152</c:v>
                </c:pt>
                <c:pt idx="9">
                  <c:v>95.115777396677316</c:v>
                </c:pt>
                <c:pt idx="10">
                  <c:v>95.234232025090733</c:v>
                </c:pt>
                <c:pt idx="11">
                  <c:v>95.355395609601302</c:v>
                </c:pt>
                <c:pt idx="12">
                  <c:v>95.479327703593157</c:v>
                </c:pt>
                <c:pt idx="13">
                  <c:v>95.606088999355791</c:v>
                </c:pt>
                <c:pt idx="14">
                  <c:v>95.735741337499732</c:v>
                </c:pt>
                <c:pt idx="15">
                  <c:v>95.868347715443448</c:v>
                </c:pt>
                <c:pt idx="16">
                  <c:v>96.003972294878338</c:v>
                </c:pt>
                <c:pt idx="17">
                  <c:v>96.142680408108973</c:v>
                </c:pt>
                <c:pt idx="18">
                  <c:v>96.284538563162926</c:v>
                </c:pt>
                <c:pt idx="19">
                  <c:v>96.429614447553291</c:v>
                </c:pt>
                <c:pt idx="20">
                  <c:v>96.577976930573541</c:v>
                </c:pt>
                <c:pt idx="21">
                  <c:v>96.729696063993629</c:v>
                </c:pt>
                <c:pt idx="22">
                  <c:v>96.884843081019369</c:v>
                </c:pt>
                <c:pt idx="23">
                  <c:v>97.043490393369581</c:v>
                </c:pt>
                <c:pt idx="24">
                  <c:v>97.205711586314422</c:v>
                </c:pt>
                <c:pt idx="25">
                  <c:v>97.371581411511443</c:v>
                </c:pt>
                <c:pt idx="26">
                  <c:v>97.541175777465099</c:v>
                </c:pt>
                <c:pt idx="27">
                  <c:v>97.714571737426056</c:v>
                </c:pt>
                <c:pt idx="28">
                  <c:v>97.891847474536235</c:v>
                </c:pt>
                <c:pt idx="29">
                  <c:v>98.073082284015399</c:v>
                </c:pt>
                <c:pt idx="30">
                  <c:v>98.258356552174575</c:v>
                </c:pt>
                <c:pt idx="31">
                  <c:v>98.447751732029829</c:v>
                </c:pt>
                <c:pt idx="32">
                  <c:v>98.641350315279013</c:v>
                </c:pt>
                <c:pt idx="33">
                  <c:v>98.83923580039378</c:v>
                </c:pt>
                <c:pt idx="34">
                  <c:v>99.041492656566334</c:v>
                </c:pt>
                <c:pt idx="35">
                  <c:v>99.248206283238986</c:v>
                </c:pt>
                <c:pt idx="36">
                  <c:v>99.459462964935028</c:v>
                </c:pt>
                <c:pt idx="37">
                  <c:v>99.67534982109369</c:v>
                </c:pt>
                <c:pt idx="38">
                  <c:v>99.895954750607743</c:v>
                </c:pt>
                <c:pt idx="39">
                  <c:v>100.12136637074239</c:v>
                </c:pt>
                <c:pt idx="40">
                  <c:v>100.35167395011204</c:v>
                </c:pt>
                <c:pt idx="41">
                  <c:v>100.5869673353765</c:v>
                </c:pt>
                <c:pt idx="42">
                  <c:v>100.82733687131037</c:v>
                </c:pt>
                <c:pt idx="43">
                  <c:v>101.07287331389061</c:v>
                </c:pt>
                <c:pt idx="44">
                  <c:v>101.32366773604082</c:v>
                </c:pt>
                <c:pt idx="45">
                  <c:v>101.57981142566442</c:v>
                </c:pt>
                <c:pt idx="46">
                  <c:v>101.84139577559274</c:v>
                </c:pt>
                <c:pt idx="47">
                  <c:v>102.10851216507318</c:v>
                </c:pt>
                <c:pt idx="48">
                  <c:v>102.38125183242104</c:v>
                </c:pt>
                <c:pt idx="49">
                  <c:v>102.65970573845985</c:v>
                </c:pt>
                <c:pt idx="50">
                  <c:v>102.94396442037799</c:v>
                </c:pt>
                <c:pt idx="51">
                  <c:v>103.23411783563895</c:v>
                </c:pt>
                <c:pt idx="52">
                  <c:v>103.53025519559</c:v>
                </c:pt>
                <c:pt idx="53">
                  <c:v>103.83246478842895</c:v>
                </c:pt>
                <c:pt idx="54">
                  <c:v>104.14083379120696</c:v>
                </c:pt>
                <c:pt idx="55">
                  <c:v>104.45544807056682</c:v>
                </c:pt>
                <c:pt idx="56">
                  <c:v>104.77639197194397</c:v>
                </c:pt>
                <c:pt idx="57">
                  <c:v>105.10374809698872</c:v>
                </c:pt>
                <c:pt idx="58">
                  <c:v>105.43759706900913</c:v>
                </c:pt>
                <c:pt idx="59">
                  <c:v>105.77801728627277</c:v>
                </c:pt>
                <c:pt idx="60">
                  <c:v>106.1250846630638</c:v>
                </c:pt>
                <c:pt idx="61">
                  <c:v>106.47887235844414</c:v>
                </c:pt>
                <c:pt idx="62">
                  <c:v>106.83945049273234</c:v>
                </c:pt>
                <c:pt idx="63">
                  <c:v>107.20688585179454</c:v>
                </c:pt>
                <c:pt idx="64">
                  <c:v>107.58124157931081</c:v>
                </c:pt>
                <c:pt idx="65">
                  <c:v>107.96257685728025</c:v>
                </c:pt>
                <c:pt idx="66">
                  <c:v>108.35094657512109</c:v>
                </c:pt>
                <c:pt idx="67">
                  <c:v>108.74640098782842</c:v>
                </c:pt>
                <c:pt idx="68">
                  <c:v>109.14898536377004</c:v>
                </c:pt>
                <c:pt idx="69">
                  <c:v>109.55873962281986</c:v>
                </c:pt>
                <c:pt idx="70">
                  <c:v>109.97569796566709</c:v>
                </c:pt>
                <c:pt idx="71">
                  <c:v>110.39988849527157</c:v>
                </c:pt>
                <c:pt idx="72">
                  <c:v>110.83133283158909</c:v>
                </c:pt>
                <c:pt idx="73">
                  <c:v>111.27004572083986</c:v>
                </c:pt>
                <c:pt idx="74">
                  <c:v>111.71603464075413</c:v>
                </c:pt>
                <c:pt idx="75">
                  <c:v>112.16929940339384</c:v>
                </c:pt>
                <c:pt idx="76">
                  <c:v>112.62983175731266</c:v>
                </c:pt>
                <c:pt idx="77">
                  <c:v>113.09761499098873</c:v>
                </c:pt>
                <c:pt idx="78">
                  <c:v>113.57262353962786</c:v>
                </c:pt>
                <c:pt idx="79">
                  <c:v>114.05482259760291</c:v>
                </c:pt>
                <c:pt idx="80">
                  <c:v>114.5441677389544</c:v>
                </c:pt>
                <c:pt idx="81">
                  <c:v>115.04060454852855</c:v>
                </c:pt>
                <c:pt idx="82">
                  <c:v>115.544068266469</c:v>
                </c:pt>
                <c:pt idx="83">
                  <c:v>116.05448344891471</c:v>
                </c:pt>
                <c:pt idx="84">
                  <c:v>116.5717636478564</c:v>
                </c:pt>
                <c:pt idx="85">
                  <c:v>117.09581111320769</c:v>
                </c:pt>
                <c:pt idx="86">
                  <c:v>117.62651652020527</c:v>
                </c:pt>
                <c:pt idx="87">
                  <c:v>118.16375872530421</c:v>
                </c:pt>
                <c:pt idx="88">
                  <c:v>118.70740455373941</c:v>
                </c:pt>
                <c:pt idx="89">
                  <c:v>119.2573086219076</c:v>
                </c:pt>
                <c:pt idx="90">
                  <c:v>119.8133131976664</c:v>
                </c:pt>
                <c:pt idx="91">
                  <c:v>120.37524810155728</c:v>
                </c:pt>
                <c:pt idx="92">
                  <c:v>120.94293065181419</c:v>
                </c:pt>
                <c:pt idx="93">
                  <c:v>121.51616565585371</c:v>
                </c:pt>
                <c:pt idx="94">
                  <c:v>122.09474545071625</c:v>
                </c:pt>
                <c:pt idx="95">
                  <c:v>122.67844999466816</c:v>
                </c:pt>
                <c:pt idx="96">
                  <c:v>123.26704701185977</c:v>
                </c:pt>
                <c:pt idx="97">
                  <c:v>123.86029219160278</c:v>
                </c:pt>
                <c:pt idx="98">
                  <c:v>124.45792944341999</c:v>
                </c:pt>
                <c:pt idx="99">
                  <c:v>125.05969120861999</c:v>
                </c:pt>
                <c:pt idx="100">
                  <c:v>125.66529882867138</c:v>
                </c:pt>
                <c:pt idx="101">
                  <c:v>126.27446297017754</c:v>
                </c:pt>
                <c:pt idx="102">
                  <c:v>126.88688410574417</c:v>
                </c:pt>
                <c:pt idx="103">
                  <c:v>127.50225304950369</c:v>
                </c:pt>
                <c:pt idx="104">
                  <c:v>128.12025154553533</c:v>
                </c:pt>
                <c:pt idx="105">
                  <c:v>128.74055290687627</c:v>
                </c:pt>
                <c:pt idx="106">
                  <c:v>129.36282270230703</c:v>
                </c:pt>
                <c:pt idx="107">
                  <c:v>129.98671948757152</c:v>
                </c:pt>
                <c:pt idx="108">
                  <c:v>130.61189557721158</c:v>
                </c:pt>
                <c:pt idx="109">
                  <c:v>131.23799785274005</c:v>
                </c:pt>
                <c:pt idx="110">
                  <c:v>131.86466860246145</c:v>
                </c:pt>
                <c:pt idx="111">
                  <c:v>132.49154638788028</c:v>
                </c:pt>
                <c:pt idx="112">
                  <c:v>133.11826693133625</c:v>
                </c:pt>
                <c:pt idx="113">
                  <c:v>133.74446401922773</c:v>
                </c:pt>
                <c:pt idx="114">
                  <c:v>134.3697704150328</c:v>
                </c:pt>
                <c:pt idx="115">
                  <c:v>134.99381877617981</c:v>
                </c:pt>
                <c:pt idx="116">
                  <c:v>135.61624256880518</c:v>
                </c:pt>
                <c:pt idx="117">
                  <c:v>136.23667697443821</c:v>
                </c:pt>
                <c:pt idx="118">
                  <c:v>136.85475978274627</c:v>
                </c:pt>
                <c:pt idx="119">
                  <c:v>137.47013226465921</c:v>
                </c:pt>
                <c:pt idx="120">
                  <c:v>138.08244002039254</c:v>
                </c:pt>
                <c:pt idx="121">
                  <c:v>138.69133379720714</c:v>
                </c:pt>
                <c:pt idx="122">
                  <c:v>139.29647027206985</c:v>
                </c:pt>
                <c:pt idx="123">
                  <c:v>139.89751279479989</c:v>
                </c:pt>
                <c:pt idx="124">
                  <c:v>140.49413208770278</c:v>
                </c:pt>
                <c:pt idx="125">
                  <c:v>141.08600689819573</c:v>
                </c:pt>
                <c:pt idx="126">
                  <c:v>141.67282460141013</c:v>
                </c:pt>
                <c:pt idx="127">
                  <c:v>142.25428175029217</c:v>
                </c:pt>
                <c:pt idx="128">
                  <c:v>142.83008457124404</c:v>
                </c:pt>
                <c:pt idx="129">
                  <c:v>143.39994940389872</c:v>
                </c:pt>
                <c:pt idx="130">
                  <c:v>143.96360308412196</c:v>
                </c:pt>
                <c:pt idx="131">
                  <c:v>144.52078326987885</c:v>
                </c:pt>
                <c:pt idx="132">
                  <c:v>145.07123871007386</c:v>
                </c:pt>
                <c:pt idx="133">
                  <c:v>145.61472945695283</c:v>
                </c:pt>
                <c:pt idx="134">
                  <c:v>146.15102702309042</c:v>
                </c:pt>
                <c:pt idx="135">
                  <c:v>146.67991448438266</c:v>
                </c:pt>
                <c:pt idx="136">
                  <c:v>147.20118653083745</c:v>
                </c:pt>
                <c:pt idx="137">
                  <c:v>147.71464946726732</c:v>
                </c:pt>
                <c:pt idx="138">
                  <c:v>148.22012116627275</c:v>
                </c:pt>
                <c:pt idx="139">
                  <c:v>148.71743097614052</c:v>
                </c:pt>
                <c:pt idx="140">
                  <c:v>149.20641958647417</c:v>
                </c:pt>
                <c:pt idx="141">
                  <c:v>149.68693885451901</c:v>
                </c:pt>
                <c:pt idx="142">
                  <c:v>150.1588515952624</c:v>
                </c:pt>
                <c:pt idx="143">
                  <c:v>150.62203133844864</c:v>
                </c:pt>
                <c:pt idx="144">
                  <c:v>151.07636205569241</c:v>
                </c:pt>
                <c:pt idx="145">
                  <c:v>151.52173786086718</c:v>
                </c:pt>
                <c:pt idx="146">
                  <c:v>151.95806268691521</c:v>
                </c:pt>
                <c:pt idx="147">
                  <c:v>152.38524994216897</c:v>
                </c:pt>
                <c:pt idx="148">
                  <c:v>152.80322214918701</c:v>
                </c:pt>
                <c:pt idx="149">
                  <c:v>153.21191056901074</c:v>
                </c:pt>
                <c:pt idx="150">
                  <c:v>153.61125481361483</c:v>
                </c:pt>
                <c:pt idx="151">
                  <c:v>154.00120244919918</c:v>
                </c:pt>
                <c:pt idx="152">
                  <c:v>154.381708592819</c:v>
                </c:pt>
                <c:pt idx="153">
                  <c:v>154.75273550468833</c:v>
                </c:pt>
                <c:pt idx="154">
                  <c:v>155.11425217834105</c:v>
                </c:pt>
                <c:pt idx="155">
                  <c:v>155.46623393065613</c:v>
                </c:pt>
                <c:pt idx="156">
                  <c:v>155.80866199360034</c:v>
                </c:pt>
                <c:pt idx="157">
                  <c:v>156.14152310936299</c:v>
                </c:pt>
                <c:pt idx="158">
                  <c:v>156.46480913040773</c:v>
                </c:pt>
                <c:pt idx="159">
                  <c:v>156.77851662579579</c:v>
                </c:pt>
                <c:pt idx="160">
                  <c:v>157.08264649498997</c:v>
                </c:pt>
                <c:pt idx="161">
                  <c:v>157.37720359019914</c:v>
                </c:pt>
                <c:pt idx="162">
                  <c:v>157.66219634818216</c:v>
                </c:pt>
                <c:pt idx="163">
                  <c:v>157.93763643229894</c:v>
                </c:pt>
                <c:pt idx="164">
                  <c:v>158.20353838547496</c:v>
                </c:pt>
                <c:pt idx="165">
                  <c:v>158.45991929462645</c:v>
                </c:pt>
                <c:pt idx="166">
                  <c:v>158.70679846699213</c:v>
                </c:pt>
                <c:pt idx="167">
                  <c:v>158.94419711871683</c:v>
                </c:pt>
                <c:pt idx="168">
                  <c:v>159.17213807594587</c:v>
                </c:pt>
                <c:pt idx="169">
                  <c:v>159.39064548860591</c:v>
                </c:pt>
                <c:pt idx="170">
                  <c:v>159.59974455698435</c:v>
                </c:pt>
                <c:pt idx="171">
                  <c:v>159.79946127114394</c:v>
                </c:pt>
                <c:pt idx="172">
                  <c:v>159.98982216316807</c:v>
                </c:pt>
                <c:pt idx="173">
                  <c:v>160.17085407217181</c:v>
                </c:pt>
                <c:pt idx="174">
                  <c:v>160.34258392198004</c:v>
                </c:pt>
                <c:pt idx="175">
                  <c:v>160.50503851133698</c:v>
                </c:pt>
                <c:pt idx="176">
                  <c:v>160.65824431648528</c:v>
                </c:pt>
                <c:pt idx="177">
                  <c:v>160.80222730592618</c:v>
                </c:pt>
                <c:pt idx="178">
                  <c:v>160.93701276716132</c:v>
                </c:pt>
                <c:pt idx="179">
                  <c:v>161.0626251451981</c:v>
                </c:pt>
                <c:pt idx="180">
                  <c:v>161.17908789259914</c:v>
                </c:pt>
                <c:pt idx="181">
                  <c:v>161.28642333084633</c:v>
                </c:pt>
                <c:pt idx="182">
                  <c:v>161.38465252279823</c:v>
                </c:pt>
                <c:pt idx="183">
                  <c:v>161.47379515601304</c:v>
                </c:pt>
                <c:pt idx="184">
                  <c:v>161.55386943672804</c:v>
                </c:pt>
                <c:pt idx="185">
                  <c:v>161.62489199428353</c:v>
                </c:pt>
                <c:pt idx="186">
                  <c:v>161.68687779580233</c:v>
                </c:pt>
                <c:pt idx="187">
                  <c:v>161.73984007094026</c:v>
                </c:pt>
                <c:pt idx="188">
                  <c:v>161.78379024654765</c:v>
                </c:pt>
                <c:pt idx="189">
                  <c:v>161.8187378910913</c:v>
                </c:pt>
                <c:pt idx="190">
                  <c:v>161.84469066871219</c:v>
                </c:pt>
                <c:pt idx="191">
                  <c:v>161.86165430280874</c:v>
                </c:pt>
                <c:pt idx="192">
                  <c:v>161.86963254906061</c:v>
                </c:pt>
                <c:pt idx="193">
                  <c:v>161.86862717782691</c:v>
                </c:pt>
                <c:pt idx="194">
                  <c:v>161.8586379658764</c:v>
                </c:pt>
                <c:pt idx="195">
                  <c:v>161.83966269742899</c:v>
                </c:pt>
                <c:pt idx="196">
                  <c:v>161.81169717451232</c:v>
                </c:pt>
                <c:pt idx="197">
                  <c:v>161.77473523665691</c:v>
                </c:pt>
                <c:pt idx="198">
                  <c:v>161.72876878997934</c:v>
                </c:pt>
                <c:pt idx="199">
                  <c:v>161.67378784572216</c:v>
                </c:pt>
                <c:pt idx="200">
                  <c:v>161.60978056834361</c:v>
                </c:pt>
                <c:pt idx="201">
                  <c:v>161.53673333326793</c:v>
                </c:pt>
                <c:pt idx="202">
                  <c:v>161.45463079442933</c:v>
                </c:pt>
                <c:pt idx="203">
                  <c:v>161.3634559617602</c:v>
                </c:pt>
                <c:pt idx="204">
                  <c:v>161.26319028879195</c:v>
                </c:pt>
                <c:pt idx="205">
                  <c:v>161.15381377055013</c:v>
                </c:pt>
                <c:pt idx="206">
                  <c:v>161.03530505194365</c:v>
                </c:pt>
                <c:pt idx="207">
                  <c:v>160.90764154685294</c:v>
                </c:pt>
                <c:pt idx="208">
                  <c:v>160.77079956813787</c:v>
                </c:pt>
                <c:pt idx="209">
                  <c:v>160.6247544687854</c:v>
                </c:pt>
                <c:pt idx="210">
                  <c:v>160.46948079442498</c:v>
                </c:pt>
                <c:pt idx="211">
                  <c:v>160.30495244743648</c:v>
                </c:pt>
                <c:pt idx="212">
                  <c:v>160.13114286287305</c:v>
                </c:pt>
                <c:pt idx="213">
                  <c:v>159.94802519640902</c:v>
                </c:pt>
                <c:pt idx="214">
                  <c:v>159.7555725245152</c:v>
                </c:pt>
                <c:pt idx="215">
                  <c:v>159.55375805704028</c:v>
                </c:pt>
                <c:pt idx="216">
                  <c:v>159.3425553623573</c:v>
                </c:pt>
                <c:pt idx="217">
                  <c:v>159.1219386052027</c:v>
                </c:pt>
                <c:pt idx="218">
                  <c:v>158.89188279729996</c:v>
                </c:pt>
                <c:pt idx="219">
                  <c:v>158.65236406081738</c:v>
                </c:pt>
                <c:pt idx="220">
                  <c:v>158.40335990466073</c:v>
                </c:pt>
                <c:pt idx="221">
                  <c:v>158.14484951354223</c:v>
                </c:pt>
                <c:pt idx="222">
                  <c:v>157.87681404970581</c:v>
                </c:pt>
                <c:pt idx="223">
                  <c:v>157.59923696711064</c:v>
                </c:pt>
                <c:pt idx="224">
                  <c:v>157.3121043377981</c:v>
                </c:pt>
                <c:pt idx="225">
                  <c:v>157.01540519007381</c:v>
                </c:pt>
                <c:pt idx="226">
                  <c:v>156.70913185803735</c:v>
                </c:pt>
                <c:pt idx="227">
                  <c:v>156.39328034188682</c:v>
                </c:pt>
                <c:pt idx="228">
                  <c:v>156.06785067830603</c:v>
                </c:pt>
                <c:pt idx="229">
                  <c:v>155.7328473201151</c:v>
                </c:pt>
                <c:pt idx="230">
                  <c:v>155.38827952423918</c:v>
                </c:pt>
                <c:pt idx="231">
                  <c:v>155.03416174689775</c:v>
                </c:pt>
                <c:pt idx="232">
                  <c:v>154.67051404477863</c:v>
                </c:pt>
                <c:pt idx="233">
                  <c:v>154.29736248079857</c:v>
                </c:pt>
                <c:pt idx="234">
                  <c:v>153.91473953289821</c:v>
                </c:pt>
                <c:pt idx="235">
                  <c:v>153.52268450415173</c:v>
                </c:pt>
                <c:pt idx="236">
                  <c:v>153.12124393230769</c:v>
                </c:pt>
                <c:pt idx="237">
                  <c:v>152.71047199671128</c:v>
                </c:pt>
                <c:pt idx="238">
                  <c:v>152.29043092039299</c:v>
                </c:pt>
                <c:pt idx="239">
                  <c:v>151.86119136494844</c:v>
                </c:pt>
                <c:pt idx="240">
                  <c:v>151.42283281567964</c:v>
                </c:pt>
                <c:pt idx="241">
                  <c:v>150.97544395432186</c:v>
                </c:pt>
                <c:pt idx="242">
                  <c:v>150.51912301654929</c:v>
                </c:pt>
                <c:pt idx="243">
                  <c:v>150.05397813133231</c:v>
                </c:pt>
                <c:pt idx="244">
                  <c:v>149.58012763912055</c:v>
                </c:pt>
                <c:pt idx="245">
                  <c:v>149.09770038574788</c:v>
                </c:pt>
                <c:pt idx="246">
                  <c:v>148.60683598890307</c:v>
                </c:pt>
                <c:pt idx="247">
                  <c:v>148.10768507398362</c:v>
                </c:pt>
                <c:pt idx="248">
                  <c:v>147.60040947616025</c:v>
                </c:pt>
                <c:pt idx="249">
                  <c:v>147.08518240551695</c:v>
                </c:pt>
                <c:pt idx="250">
                  <c:v>146.56218857221344</c:v>
                </c:pt>
                <c:pt idx="251">
                  <c:v>146.03162426873376</c:v>
                </c:pt>
                <c:pt idx="252">
                  <c:v>145.49369740644408</c:v>
                </c:pt>
                <c:pt idx="253">
                  <c:v>144.94862750388509</c:v>
                </c:pt>
                <c:pt idx="254">
                  <c:v>144.39664562447027</c:v>
                </c:pt>
                <c:pt idx="255">
                  <c:v>143.83799426154894</c:v>
                </c:pt>
                <c:pt idx="256">
                  <c:v>143.27292716912763</c:v>
                </c:pt>
                <c:pt idx="257">
                  <c:v>142.70170913690762</c:v>
                </c:pt>
                <c:pt idx="258">
                  <c:v>142.1246157087165</c:v>
                </c:pt>
                <c:pt idx="259">
                  <c:v>141.54193284384652</c:v>
                </c:pt>
                <c:pt idx="260">
                  <c:v>140.9539565212923</c:v>
                </c:pt>
                <c:pt idx="261">
                  <c:v>140.36099228737891</c:v>
                </c:pt>
                <c:pt idx="262">
                  <c:v>139.76335474778639</c:v>
                </c:pt>
                <c:pt idx="263">
                  <c:v>139.16136700551027</c:v>
                </c:pt>
                <c:pt idx="264">
                  <c:v>138.55536004682725</c:v>
                </c:pt>
                <c:pt idx="265">
                  <c:v>137.94567207787057</c:v>
                </c:pt>
                <c:pt idx="266">
                  <c:v>137.3326478149321</c:v>
                </c:pt>
                <c:pt idx="267">
                  <c:v>136.71663773211134</c:v>
                </c:pt>
                <c:pt idx="268">
                  <c:v>136.09799727039729</c:v>
                </c:pt>
                <c:pt idx="269">
                  <c:v>135.47708601270421</c:v>
                </c:pt>
                <c:pt idx="270">
                  <c:v>134.85426682976802</c:v>
                </c:pt>
                <c:pt idx="271">
                  <c:v>134.22990500214812</c:v>
                </c:pt>
                <c:pt idx="272">
                  <c:v>133.60436732385759</c:v>
                </c:pt>
                <c:pt idx="273">
                  <c:v>132.97802119336004</c:v>
                </c:pt>
                <c:pt idx="274">
                  <c:v>132.35123369782028</c:v>
                </c:pt>
                <c:pt idx="275">
                  <c:v>131.72437069657465</c:v>
                </c:pt>
                <c:pt idx="276">
                  <c:v>131.09779590979264</c:v>
                </c:pt>
                <c:pt idx="277">
                  <c:v>130.4718700182427</c:v>
                </c:pt>
                <c:pt idx="278">
                  <c:v>129.84694977992791</c:v>
                </c:pt>
                <c:pt idx="279">
                  <c:v>129.22338716917304</c:v>
                </c:pt>
                <c:pt idx="280">
                  <c:v>128.60152854345941</c:v>
                </c:pt>
                <c:pt idx="281">
                  <c:v>127.98171384299292</c:v>
                </c:pt>
                <c:pt idx="282">
                  <c:v>127.36427582760305</c:v>
                </c:pt>
                <c:pt idx="283">
                  <c:v>126.74953935515512</c:v>
                </c:pt>
                <c:pt idx="284">
                  <c:v>126.13782070518538</c:v>
                </c:pt>
                <c:pt idx="285">
                  <c:v>125.5294269509855</c:v>
                </c:pt>
                <c:pt idx="286">
                  <c:v>124.92465538284398</c:v>
                </c:pt>
                <c:pt idx="287">
                  <c:v>124.32379298461819</c:v>
                </c:pt>
                <c:pt idx="288">
                  <c:v>123.72711596529182</c:v>
                </c:pt>
                <c:pt idx="289">
                  <c:v>123.13488934662367</c:v>
                </c:pt>
                <c:pt idx="290">
                  <c:v>122.5473666074862</c:v>
                </c:pt>
                <c:pt idx="291">
                  <c:v>121.96478938498699</c:v>
                </c:pt>
                <c:pt idx="292">
                  <c:v>121.38738723197908</c:v>
                </c:pt>
                <c:pt idx="293">
                  <c:v>120.8153774301272</c:v>
                </c:pt>
                <c:pt idx="294">
                  <c:v>120.24896485727093</c:v>
                </c:pt>
                <c:pt idx="295">
                  <c:v>119.68834190745206</c:v>
                </c:pt>
                <c:pt idx="296">
                  <c:v>119.13368846163135</c:v>
                </c:pt>
                <c:pt idx="297">
                  <c:v>118.58517190682578</c:v>
                </c:pt>
                <c:pt idx="298">
                  <c:v>118.04294720113974</c:v>
                </c:pt>
                <c:pt idx="299">
                  <c:v>117.50715698195847</c:v>
                </c:pt>
                <c:pt idx="300">
                  <c:v>116.97793171439979</c:v>
                </c:pt>
                <c:pt idx="301">
                  <c:v>116.4553898769977</c:v>
                </c:pt>
                <c:pt idx="302">
                  <c:v>115.93963818150327</c:v>
                </c:pt>
                <c:pt idx="303">
                  <c:v>115.4307718236447</c:v>
                </c:pt>
                <c:pt idx="304">
                  <c:v>114.92887476166868</c:v>
                </c:pt>
                <c:pt idx="305">
                  <c:v>114.4340200195109</c:v>
                </c:pt>
                <c:pt idx="306">
                  <c:v>113.94627001149014</c:v>
                </c:pt>
                <c:pt idx="307">
                  <c:v>113.46567688549142</c:v>
                </c:pt>
                <c:pt idx="308">
                  <c:v>112.99228288170499</c:v>
                </c:pt>
                <c:pt idx="309">
                  <c:v>112.52612070410166</c:v>
                </c:pt>
                <c:pt idx="310">
                  <c:v>112.0672139019546</c:v>
                </c:pt>
                <c:pt idx="311">
                  <c:v>111.61557725886712</c:v>
                </c:pt>
                <c:pt idx="312">
                  <c:v>111.17121718691385</c:v>
                </c:pt>
                <c:pt idx="313">
                  <c:v>110.73413212367062</c:v>
                </c:pt>
                <c:pt idx="314">
                  <c:v>110.3043129300668</c:v>
                </c:pt>
                <c:pt idx="315">
                  <c:v>109.88174328716967</c:v>
                </c:pt>
                <c:pt idx="316">
                  <c:v>109.46640009017031</c:v>
                </c:pt>
                <c:pt idx="317">
                  <c:v>109.05825383801323</c:v>
                </c:pt>
                <c:pt idx="318">
                  <c:v>108.65726901726951</c:v>
                </c:pt>
                <c:pt idx="319">
                  <c:v>108.26340447901586</c:v>
                </c:pt>
                <c:pt idx="320">
                  <c:v>107.87661380762967</c:v>
                </c:pt>
                <c:pt idx="321">
                  <c:v>107.4968456805605</c:v>
                </c:pt>
                <c:pt idx="322">
                  <c:v>107.12404421827169</c:v>
                </c:pt>
                <c:pt idx="323">
                  <c:v>106.75814932367933</c:v>
                </c:pt>
                <c:pt idx="324">
                  <c:v>106.3990970105357</c:v>
                </c:pt>
                <c:pt idx="325">
                  <c:v>106.04681972031906</c:v>
                </c:pt>
                <c:pt idx="326">
                  <c:v>105.70124662729492</c:v>
                </c:pt>
                <c:pt idx="327">
                  <c:v>105.36230393150942</c:v>
                </c:pt>
                <c:pt idx="328">
                  <c:v>105.02991513956603</c:v>
                </c:pt>
                <c:pt idx="329">
                  <c:v>104.70400133311038</c:v>
                </c:pt>
                <c:pt idx="330">
                  <c:v>104.38448142502739</c:v>
                </c:pt>
                <c:pt idx="331">
                  <c:v>104.0712724034094</c:v>
                </c:pt>
                <c:pt idx="332">
                  <c:v>103.76428956341758</c:v>
                </c:pt>
                <c:pt idx="333">
                  <c:v>103.46344672720353</c:v>
                </c:pt>
                <c:pt idx="334">
                  <c:v>103.16865645210434</c:v>
                </c:pt>
                <c:pt idx="335">
                  <c:v>102.87983022735739</c:v>
                </c:pt>
                <c:pt idx="336">
                  <c:v>102.59687865961773</c:v>
                </c:pt>
                <c:pt idx="337">
                  <c:v>102.31971164757938</c:v>
                </c:pt>
                <c:pt idx="338">
                  <c:v>102.04823854603151</c:v>
                </c:pt>
                <c:pt idx="339">
                  <c:v>101.78236831969069</c:v>
                </c:pt>
                <c:pt idx="340">
                  <c:v>101.52200968716697</c:v>
                </c:pt>
                <c:pt idx="341">
                  <c:v>101.26707125542943</c:v>
                </c:pt>
                <c:pt idx="342">
                  <c:v>101.01746164514391</c:v>
                </c:pt>
                <c:pt idx="343">
                  <c:v>100.7730896072585</c:v>
                </c:pt>
                <c:pt idx="344">
                  <c:v>100.53386413121305</c:v>
                </c:pt>
                <c:pt idx="345">
                  <c:v>100.29969454514817</c:v>
                </c:pt>
                <c:pt idx="346">
                  <c:v>100.07049060848517</c:v>
                </c:pt>
                <c:pt idx="347">
                  <c:v>99.846162597244799</c:v>
                </c:pt>
                <c:pt idx="348">
                  <c:v>99.626621382463767</c:v>
                </c:pt>
                <c:pt idx="349">
                  <c:v>99.411778502063299</c:v>
                </c:pt>
                <c:pt idx="350">
                  <c:v>99.201546226513472</c:v>
                </c:pt>
                <c:pt idx="351">
                  <c:v>98.995837618628002</c:v>
                </c:pt>
                <c:pt idx="352">
                  <c:v>98.794566587814828</c:v>
                </c:pt>
                <c:pt idx="353">
                  <c:v>98.597647939095864</c:v>
                </c:pt>
                <c:pt idx="354">
                  <c:v>98.404997417199738</c:v>
                </c:pt>
                <c:pt idx="355">
                  <c:v>98.216531746019271</c:v>
                </c:pt>
                <c:pt idx="356">
                  <c:v>98.032168663713563</c:v>
                </c:pt>
                <c:pt idx="357">
                  <c:v>97.851826953724782</c:v>
                </c:pt>
                <c:pt idx="358">
                  <c:v>97.675426471965281</c:v>
                </c:pt>
                <c:pt idx="359">
                  <c:v>97.502888170423503</c:v>
                </c:pt>
                <c:pt idx="360">
                  <c:v>97.33413411742076</c:v>
                </c:pt>
                <c:pt idx="361">
                  <c:v>97.169087514744035</c:v>
                </c:pt>
                <c:pt idx="362">
                  <c:v>97.007672711867386</c:v>
                </c:pt>
                <c:pt idx="363">
                  <c:v>96.849815217462819</c:v>
                </c:pt>
                <c:pt idx="364">
                  <c:v>96.695441708393275</c:v>
                </c:pt>
                <c:pt idx="365">
                  <c:v>96.544480036369166</c:v>
                </c:pt>
                <c:pt idx="366">
                  <c:v>96.39685923243934</c:v>
                </c:pt>
                <c:pt idx="367">
                  <c:v>96.252509509479765</c:v>
                </c:pt>
                <c:pt idx="368">
                  <c:v>96.111362262832955</c:v>
                </c:pt>
                <c:pt idx="369">
                  <c:v>95.973350069242002</c:v>
                </c:pt>
                <c:pt idx="370">
                  <c:v>95.838406684216721</c:v>
                </c:pt>
                <c:pt idx="371">
                  <c:v>95.706467037958916</c:v>
                </c:pt>
                <c:pt idx="372">
                  <c:v>95.577467229967425</c:v>
                </c:pt>
                <c:pt idx="373">
                  <c:v>95.451344522437125</c:v>
                </c:pt>
                <c:pt idx="374">
                  <c:v>95.328037332556477</c:v>
                </c:pt>
                <c:pt idx="375">
                  <c:v>95.20748522380498</c:v>
                </c:pt>
                <c:pt idx="376">
                  <c:v>95.08962889634229</c:v>
                </c:pt>
                <c:pt idx="377">
                  <c:v>94.974410176577138</c:v>
                </c:pt>
                <c:pt idx="378">
                  <c:v>94.861772005997381</c:v>
                </c:pt>
                <c:pt idx="379">
                  <c:v>94.751658429337581</c:v>
                </c:pt>
                <c:pt idx="380">
                  <c:v>94.644014582154909</c:v>
                </c:pt>
                <c:pt idx="381">
                  <c:v>94.538786677879912</c:v>
                </c:pt>
                <c:pt idx="382">
                  <c:v>94.43592199440377</c:v>
                </c:pt>
                <c:pt idx="383">
                  <c:v>94.335368860259749</c:v>
                </c:pt>
                <c:pt idx="384">
                  <c:v>94.237076640451903</c:v>
                </c:pt>
                <c:pt idx="385">
                  <c:v>94.140995721980687</c:v>
                </c:pt>
                <c:pt idx="386">
                  <c:v>94.047077499112063</c:v>
                </c:pt>
                <c:pt idx="387">
                  <c:v>93.955274358431609</c:v>
                </c:pt>
                <c:pt idx="388">
                  <c:v>93.865539663724093</c:v>
                </c:pt>
                <c:pt idx="389">
                  <c:v>93.777827740714642</c:v>
                </c:pt>
                <c:pt idx="390">
                  <c:v>93.692093861705004</c:v>
                </c:pt>
                <c:pt idx="391">
                  <c:v>93.608294230136096</c:v>
                </c:pt>
                <c:pt idx="392">
                  <c:v>93.526385965105547</c:v>
                </c:pt>
                <c:pt idx="393">
                  <c:v>93.446327085866272</c:v>
                </c:pt>
                <c:pt idx="394">
                  <c:v>93.368076496330417</c:v>
                </c:pt>
                <c:pt idx="395">
                  <c:v>93.29159396960074</c:v>
                </c:pt>
                <c:pt idx="396">
                  <c:v>93.216840132549578</c:v>
                </c:pt>
                <c:pt idx="397">
                  <c:v>93.143776450463903</c:v>
                </c:pt>
                <c:pt idx="398">
                  <c:v>93.072365211773416</c:v>
                </c:pt>
                <c:pt idx="399">
                  <c:v>93.002569512876732</c:v>
                </c:pt>
                <c:pt idx="400">
                  <c:v>92.934353243079741</c:v>
                </c:pt>
                <c:pt idx="401">
                  <c:v>92.867681069658687</c:v>
                </c:pt>
                <c:pt idx="402">
                  <c:v>92.802518423058956</c:v>
                </c:pt>
                <c:pt idx="403">
                  <c:v>92.738831482240087</c:v>
                </c:pt>
                <c:pt idx="404">
                  <c:v>92.676587160175842</c:v>
                </c:pt>
                <c:pt idx="405">
                  <c:v>92.615753089517497</c:v>
                </c:pt>
                <c:pt idx="406">
                  <c:v>92.556297608427371</c:v>
                </c:pt>
                <c:pt idx="407">
                  <c:v>92.49818974658929</c:v>
                </c:pt>
                <c:pt idx="408">
                  <c:v>92.441399211400736</c:v>
                </c:pt>
                <c:pt idx="409">
                  <c:v>92.385896374352257</c:v>
                </c:pt>
                <c:pt idx="410">
                  <c:v>92.331652257597597</c:v>
                </c:pt>
                <c:pt idx="411">
                  <c:v>92.278638520718374</c:v>
                </c:pt>
                <c:pt idx="412">
                  <c:v>92.226827447685864</c:v>
                </c:pt>
                <c:pt idx="413">
                  <c:v>92.176191934022583</c:v>
                </c:pt>
                <c:pt idx="414">
                  <c:v>92.126705474165149</c:v>
                </c:pt>
                <c:pt idx="415">
                  <c:v>92.078342149029993</c:v>
                </c:pt>
                <c:pt idx="416">
                  <c:v>92.031076613782758</c:v>
                </c:pt>
                <c:pt idx="417">
                  <c:v>91.984884085812197</c:v>
                </c:pt>
                <c:pt idx="418">
                  <c:v>91.939740332908457</c:v>
                </c:pt>
                <c:pt idx="419">
                  <c:v>91.89562166164599</c:v>
                </c:pt>
                <c:pt idx="420">
                  <c:v>91.852504905970349</c:v>
                </c:pt>
                <c:pt idx="421">
                  <c:v>91.810367415988466</c:v>
                </c:pt>
                <c:pt idx="422">
                  <c:v>91.769187046961477</c:v>
                </c:pt>
                <c:pt idx="423">
                  <c:v>91.728942148498803</c:v>
                </c:pt>
                <c:pt idx="424">
                  <c:v>91.689611553952275</c:v>
                </c:pt>
                <c:pt idx="425">
                  <c:v>91.65117457000882</c:v>
                </c:pt>
                <c:pt idx="426">
                  <c:v>91.613610966479854</c:v>
                </c:pt>
                <c:pt idx="427">
                  <c:v>91.576900966285805</c:v>
                </c:pt>
                <c:pt idx="428">
                  <c:v>91.541025235633555</c:v>
                </c:pt>
                <c:pt idx="429">
                  <c:v>91.505964874384816</c:v>
                </c:pt>
                <c:pt idx="430">
                  <c:v>91.47170140661342</c:v>
                </c:pt>
                <c:pt idx="431">
                  <c:v>91.438216771348849</c:v>
                </c:pt>
                <c:pt idx="432">
                  <c:v>91.405493313504223</c:v>
                </c:pt>
                <c:pt idx="433">
                  <c:v>91.373513774985554</c:v>
                </c:pt>
                <c:pt idx="434">
                  <c:v>91.342261285980598</c:v>
                </c:pt>
                <c:pt idx="435">
                  <c:v>91.311719356424121</c:v>
                </c:pt>
                <c:pt idx="436">
                  <c:v>91.281871867637378</c:v>
                </c:pt>
                <c:pt idx="437">
                  <c:v>91.252703064138942</c:v>
                </c:pt>
                <c:pt idx="438">
                  <c:v>91.224197545624378</c:v>
                </c:pt>
                <c:pt idx="439">
                  <c:v>91.196340259112063</c:v>
                </c:pt>
                <c:pt idx="440">
                  <c:v>91.169116491252439</c:v>
                </c:pt>
                <c:pt idx="441">
                  <c:v>91.142511860797939</c:v>
                </c:pt>
                <c:pt idx="442">
                  <c:v>91.11651231123102</c:v>
                </c:pt>
                <c:pt idx="443">
                  <c:v>91.091104103547494</c:v>
                </c:pt>
                <c:pt idx="444">
                  <c:v>91.066273809192467</c:v>
                </c:pt>
                <c:pt idx="445">
                  <c:v>91.042008303146133</c:v>
                </c:pt>
                <c:pt idx="446">
                  <c:v>91.018294757156951</c:v>
                </c:pt>
                <c:pt idx="447">
                  <c:v>90.995120633119214</c:v>
                </c:pt>
                <c:pt idx="448">
                  <c:v>90.972473676592571</c:v>
                </c:pt>
                <c:pt idx="449">
                  <c:v>90.950341910460864</c:v>
                </c:pt>
                <c:pt idx="450">
                  <c:v>90.928713628727408</c:v>
                </c:pt>
                <c:pt idx="451">
                  <c:v>90.907577390444601</c:v>
                </c:pt>
                <c:pt idx="452">
                  <c:v>90.886922013774665</c:v>
                </c:pt>
                <c:pt idx="453">
                  <c:v>90.866736570179526</c:v>
                </c:pt>
                <c:pt idx="454">
                  <c:v>90.847010378737068</c:v>
                </c:pt>
                <c:pt idx="455">
                  <c:v>90.827733000581205</c:v>
                </c:pt>
                <c:pt idx="456">
                  <c:v>90.808894233463477</c:v>
                </c:pt>
                <c:pt idx="457">
                  <c:v>90.790484106433681</c:v>
                </c:pt>
                <c:pt idx="458">
                  <c:v>90.772492874637095</c:v>
                </c:pt>
                <c:pt idx="459">
                  <c:v>90.754911014226096</c:v>
                </c:pt>
                <c:pt idx="460">
                  <c:v>90.737729217383489</c:v>
                </c:pt>
                <c:pt idx="461">
                  <c:v>90.720938387455803</c:v>
                </c:pt>
                <c:pt idx="462">
                  <c:v>90.704529634193833</c:v>
                </c:pt>
                <c:pt idx="463">
                  <c:v>90.688494269098285</c:v>
                </c:pt>
                <c:pt idx="464">
                  <c:v>90.672823800868684</c:v>
                </c:pt>
                <c:pt idx="465">
                  <c:v>90.657509930952855</c:v>
                </c:pt>
                <c:pt idx="466">
                  <c:v>90.642544549195321</c:v>
                </c:pt>
                <c:pt idx="467">
                  <c:v>90.627919729582359</c:v>
                </c:pt>
                <c:pt idx="468">
                  <c:v>90.61362772608156</c:v>
                </c:pt>
                <c:pt idx="469">
                  <c:v>90.599660968574184</c:v>
                </c:pt>
                <c:pt idx="470">
                  <c:v>90.586012058877969</c:v>
                </c:pt>
                <c:pt idx="471">
                  <c:v>90.572673766858856</c:v>
                </c:pt>
                <c:pt idx="472">
                  <c:v>90.559639026629384</c:v>
                </c:pt>
                <c:pt idx="473">
                  <c:v>90.546900932832074</c:v>
                </c:pt>
                <c:pt idx="474">
                  <c:v>90.53445273700595</c:v>
                </c:pt>
                <c:pt idx="475">
                  <c:v>90.52228784403448</c:v>
                </c:pt>
                <c:pt idx="476">
                  <c:v>90.510399808672886</c:v>
                </c:pt>
                <c:pt idx="477">
                  <c:v>90.49878233215351</c:v>
                </c:pt>
                <c:pt idx="478">
                  <c:v>90.487429258867138</c:v>
                </c:pt>
                <c:pt idx="479">
                  <c:v>90.476334573119047</c:v>
                </c:pt>
                <c:pt idx="480">
                  <c:v>90.465492395957725</c:v>
                </c:pt>
                <c:pt idx="481">
                  <c:v>90.454896982074985</c:v>
                </c:pt>
                <c:pt idx="482">
                  <c:v>90.444542716775643</c:v>
                </c:pt>
                <c:pt idx="483">
                  <c:v>90.434424113015638</c:v>
                </c:pt>
                <c:pt idx="484">
                  <c:v>90.424535808506576</c:v>
                </c:pt>
                <c:pt idx="485">
                  <c:v>90.41487256288562</c:v>
                </c:pt>
                <c:pt idx="486">
                  <c:v>90.405429254949169</c:v>
                </c:pt>
                <c:pt idx="487">
                  <c:v>90.396200879948822</c:v>
                </c:pt>
                <c:pt idx="488">
                  <c:v>90.387182546948424</c:v>
                </c:pt>
                <c:pt idx="489">
                  <c:v>90.378369476240692</c:v>
                </c:pt>
                <c:pt idx="490">
                  <c:v>90.369756996822161</c:v>
                </c:pt>
                <c:pt idx="491">
                  <c:v>90.361340543925181</c:v>
                </c:pt>
                <c:pt idx="492">
                  <c:v>90.353115656605638</c:v>
                </c:pt>
                <c:pt idx="493">
                  <c:v>90.345077975385166</c:v>
                </c:pt>
                <c:pt idx="494">
                  <c:v>90.337223239946795</c:v>
                </c:pt>
                <c:pt idx="495">
                  <c:v>90.329547286882473</c:v>
                </c:pt>
                <c:pt idx="496">
                  <c:v>90.322046047491739</c:v>
                </c:pt>
                <c:pt idx="497">
                  <c:v>90.314715545630122</c:v>
                </c:pt>
                <c:pt idx="498">
                  <c:v>90.30755189560621</c:v>
                </c:pt>
                <c:pt idx="499">
                  <c:v>90.300551300126443</c:v>
                </c:pt>
                <c:pt idx="500">
                  <c:v>90.293710048286215</c:v>
                </c:pt>
                <c:pt idx="501">
                  <c:v>90.287024513606809</c:v>
                </c:pt>
                <c:pt idx="502">
                  <c:v>90.280491152116397</c:v>
                </c:pt>
                <c:pt idx="503">
                  <c:v>90.274106500474943</c:v>
                </c:pt>
                <c:pt idx="504">
                  <c:v>90.267867174141259</c:v>
                </c:pt>
                <c:pt idx="505">
                  <c:v>90.261769865581812</c:v>
                </c:pt>
                <c:pt idx="506">
                  <c:v>90.255811342520062</c:v>
                </c:pt>
                <c:pt idx="507">
                  <c:v>90.249988446225515</c:v>
                </c:pt>
                <c:pt idx="508">
                  <c:v>90.244298089841607</c:v>
                </c:pt>
                <c:pt idx="509">
                  <c:v>90.238737256751463</c:v>
                </c:pt>
                <c:pt idx="510">
                  <c:v>90.233302998980761</c:v>
                </c:pt>
                <c:pt idx="511">
                  <c:v>90.227992435636878</c:v>
                </c:pt>
                <c:pt idx="512">
                  <c:v>90.222802751383384</c:v>
                </c:pt>
                <c:pt idx="513">
                  <c:v>90.217731194949224</c:v>
                </c:pt>
                <c:pt idx="514">
                  <c:v>90.212775077671651</c:v>
                </c:pt>
                <c:pt idx="515">
                  <c:v>90.207931772072428</c:v>
                </c:pt>
                <c:pt idx="516">
                  <c:v>90.203198710466111</c:v>
                </c:pt>
                <c:pt idx="517">
                  <c:v>90.198573383600092</c:v>
                </c:pt>
                <c:pt idx="518">
                  <c:v>90.194053339325521</c:v>
                </c:pt>
                <c:pt idx="519">
                  <c:v>90.189636181298397</c:v>
                </c:pt>
                <c:pt idx="520">
                  <c:v>90.18531956771011</c:v>
                </c:pt>
                <c:pt idx="521">
                  <c:v>90.181101210046862</c:v>
                </c:pt>
                <c:pt idx="522">
                  <c:v>90.176978871877353</c:v>
                </c:pt>
                <c:pt idx="523">
                  <c:v>90.172950367667866</c:v>
                </c:pt>
                <c:pt idx="524">
                  <c:v>90.169013561624368</c:v>
                </c:pt>
                <c:pt idx="525">
                  <c:v>90.165166366560939</c:v>
                </c:pt>
                <c:pt idx="526">
                  <c:v>90.161406742793815</c:v>
                </c:pt>
                <c:pt idx="527">
                  <c:v>90.157732697060737</c:v>
                </c:pt>
                <c:pt idx="528">
                  <c:v>90.154142281464644</c:v>
                </c:pt>
                <c:pt idx="529">
                  <c:v>90.150633592441608</c:v>
                </c:pt>
                <c:pt idx="530">
                  <c:v>90.147204769752065</c:v>
                </c:pt>
                <c:pt idx="531">
                  <c:v>90.143853995495036</c:v>
                </c:pt>
                <c:pt idx="532">
                  <c:v>90.14057949314477</c:v>
                </c:pt>
                <c:pt idx="533">
                  <c:v>90.137379526609251</c:v>
                </c:pt>
                <c:pt idx="534">
                  <c:v>90.134252399310213</c:v>
                </c:pt>
                <c:pt idx="535">
                  <c:v>90.13119645328392</c:v>
                </c:pt>
                <c:pt idx="536">
                  <c:v>90.128210068302508</c:v>
                </c:pt>
                <c:pt idx="537">
                  <c:v>90.125291661015297</c:v>
                </c:pt>
                <c:pt idx="538">
                  <c:v>90.122439684109622</c:v>
                </c:pt>
                <c:pt idx="539">
                  <c:v>90.119652625490659</c:v>
                </c:pt>
                <c:pt idx="540">
                  <c:v>90.116929007480081</c:v>
                </c:pt>
                <c:pt idx="541">
                  <c:v>90.114267386032793</c:v>
                </c:pt>
              </c:numCache>
            </c:numRef>
          </c:yVal>
          <c:smooth val="1"/>
          <c:extLst>
            <c:ext xmlns:c16="http://schemas.microsoft.com/office/drawing/2014/chart" uri="{C3380CC4-5D6E-409C-BE32-E72D297353CC}">
              <c16:uniqueId val="{00000001-10B5-49C9-9BB6-6633B6CD1AA0}"/>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I$8" max="65" min="1" noThreeD="1" page="10" val="12"/>
</file>

<file path=xl/ctrlProps/ctrlProp2.xml><?xml version="1.0" encoding="utf-8"?>
<formControlPr xmlns="http://schemas.microsoft.com/office/spreadsheetml/2009/9/main" objectType="Drop" dropLines="2" dropStyle="combo" dx="16" fmlaLink="Calculations!B20" fmlaRange="Calculations!$K$20:$K$21"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4.gif"/><Relationship Id="rId1" Type="http://schemas.openxmlformats.org/officeDocument/2006/relationships/hyperlink" Target="http://www.ti.com" TargetMode="Externa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7.png"/><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image" Target="../media/image5.png"/><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285750</xdr:colOff>
          <xdr:row>89</xdr:row>
          <xdr:rowOff>28575</xdr:rowOff>
        </xdr:from>
        <xdr:to>
          <xdr:col>27</xdr:col>
          <xdr:colOff>9525</xdr:colOff>
          <xdr:row>113</xdr:row>
          <xdr:rowOff>142875</xdr:rowOff>
        </xdr:to>
        <xdr:pic>
          <xdr:nvPicPr>
            <xdr:cNvPr id="28" name="Picture 27">
              <a:extLst>
                <a:ext uri="{FF2B5EF4-FFF2-40B4-BE49-F238E27FC236}">
                  <a16:creationId xmlns:a16="http://schemas.microsoft.com/office/drawing/2014/main" id="{00000000-0008-0000-0000-00001C000000}"/>
                </a:ext>
              </a:extLst>
            </xdr:cNvPr>
            <xdr:cNvPicPr>
              <a:picLocks noChangeAspect="1" noChangeArrowheads="1"/>
              <a:extLst>
                <a:ext uri="{84589F7E-364E-4C9E-8A38-B11213B215E9}">
                  <a14:cameraTool cellRange="Eff_Plot_image" spid="_x0000_s2170"/>
                </a:ext>
              </a:extLst>
            </xdr:cNvPicPr>
          </xdr:nvPicPr>
          <xdr:blipFill>
            <a:blip xmlns:r="http://schemas.openxmlformats.org/officeDocument/2006/relationships" r:embed="rId1"/>
            <a:srcRect/>
            <a:stretch>
              <a:fillRect/>
            </a:stretch>
          </xdr:blipFill>
          <xdr:spPr bwMode="auto">
            <a:xfrm>
              <a:off x="5772150" y="20154900"/>
              <a:ext cx="10287000" cy="4953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xdr:row>
          <xdr:rowOff>66675</xdr:rowOff>
        </xdr:from>
        <xdr:to>
          <xdr:col>25</xdr:col>
          <xdr:colOff>514350</xdr:colOff>
          <xdr:row>27</xdr:row>
          <xdr:rowOff>38100</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201704</xdr:colOff>
      <xdr:row>64</xdr:row>
      <xdr:rowOff>33619</xdr:rowOff>
    </xdr:from>
    <xdr:to>
      <xdr:col>25</xdr:col>
      <xdr:colOff>112059</xdr:colOff>
      <xdr:row>85</xdr:row>
      <xdr:rowOff>200886</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9</xdr:col>
          <xdr:colOff>133350</xdr:colOff>
          <xdr:row>80</xdr:row>
          <xdr:rowOff>152400</xdr:rowOff>
        </xdr:from>
        <xdr:to>
          <xdr:col>9</xdr:col>
          <xdr:colOff>304800</xdr:colOff>
          <xdr:row>82</xdr:row>
          <xdr:rowOff>66675</xdr:rowOff>
        </xdr:to>
        <xdr:sp macro="" textlink="">
          <xdr:nvSpPr>
            <xdr:cNvPr id="2075" name="Spinner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358588</xdr:colOff>
      <xdr:row>63</xdr:row>
      <xdr:rowOff>156882</xdr:rowOff>
    </xdr:from>
    <xdr:to>
      <xdr:col>14</xdr:col>
      <xdr:colOff>88526</xdr:colOff>
      <xdr:row>66</xdr:row>
      <xdr:rowOff>6723</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7620000" y="14287500"/>
          <a:ext cx="940173" cy="5558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 </a:t>
          </a:r>
        </a:p>
      </xdr:txBody>
    </xdr:sp>
    <xdr:clientData/>
  </xdr:twoCellAnchor>
  <xdr:twoCellAnchor>
    <xdr:from>
      <xdr:col>13</xdr:col>
      <xdr:colOff>403413</xdr:colOff>
      <xdr:row>63</xdr:row>
      <xdr:rowOff>168088</xdr:rowOff>
    </xdr:from>
    <xdr:to>
      <xdr:col>15</xdr:col>
      <xdr:colOff>115421</xdr:colOff>
      <xdr:row>66</xdr:row>
      <xdr:rowOff>17930</xdr:rowOff>
    </xdr:to>
    <xdr:sp macro="" textlink="VIN_TYP">
      <xdr:nvSpPr>
        <xdr:cNvPr id="8" name="TextBox 7">
          <a:extLst>
            <a:ext uri="{FF2B5EF4-FFF2-40B4-BE49-F238E27FC236}">
              <a16:creationId xmlns:a16="http://schemas.microsoft.com/office/drawing/2014/main" id="{00000000-0008-0000-0000-000008000000}"/>
            </a:ext>
          </a:extLst>
        </xdr:cNvPr>
        <xdr:cNvSpPr txBox="1"/>
      </xdr:nvSpPr>
      <xdr:spPr>
        <a:xfrm>
          <a:off x="8269942" y="14298706"/>
          <a:ext cx="922244" cy="555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6F7CC8-B545-46D8-BA50-9FA1A86CB6D2}" type="TxLink">
            <a:rPr lang="en-US" sz="2400" b="0" i="0" u="none" strike="noStrike">
              <a:solidFill>
                <a:srgbClr val="000000"/>
              </a:solidFill>
              <a:latin typeface="Calibri"/>
              <a:cs typeface="Calibri"/>
            </a:rPr>
            <a:pPr/>
            <a:t>12</a:t>
          </a:fld>
          <a:endParaRPr lang="en-US" sz="4800"/>
        </a:p>
      </xdr:txBody>
    </xdr:sp>
    <xdr:clientData/>
  </xdr:twoCellAnchor>
  <xdr:twoCellAnchor>
    <xdr:from>
      <xdr:col>14</xdr:col>
      <xdr:colOff>224118</xdr:colOff>
      <xdr:row>63</xdr:row>
      <xdr:rowOff>168087</xdr:rowOff>
    </xdr:from>
    <xdr:to>
      <xdr:col>15</xdr:col>
      <xdr:colOff>549648</xdr:colOff>
      <xdr:row>66</xdr:row>
      <xdr:rowOff>17928</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695765" y="14298705"/>
          <a:ext cx="930648" cy="5558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12</xdr:col>
      <xdr:colOff>470648</xdr:colOff>
      <xdr:row>89</xdr:row>
      <xdr:rowOff>185458</xdr:rowOff>
    </xdr:from>
    <xdr:to>
      <xdr:col>15</xdr:col>
      <xdr:colOff>76200</xdr:colOff>
      <xdr:row>92</xdr:row>
      <xdr:rowOff>19051</xdr:rowOff>
    </xdr:to>
    <xdr:sp macro="" textlink="Graph_Text">
      <xdr:nvSpPr>
        <xdr:cNvPr id="10" name="TextBox 9">
          <a:extLst>
            <a:ext uri="{FF2B5EF4-FFF2-40B4-BE49-F238E27FC236}">
              <a16:creationId xmlns:a16="http://schemas.microsoft.com/office/drawing/2014/main" id="{00000000-0008-0000-0000-00000A000000}"/>
            </a:ext>
          </a:extLst>
        </xdr:cNvPr>
        <xdr:cNvSpPr txBox="1"/>
      </xdr:nvSpPr>
      <xdr:spPr>
        <a:xfrm>
          <a:off x="7785848" y="20311783"/>
          <a:ext cx="1434352"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465C6-5A85-4449-8DCD-DE8E2D885B53}" type="TxLink">
            <a:rPr lang="en-US" sz="2000" b="0" i="0" u="none" strike="noStrike">
              <a:solidFill>
                <a:srgbClr val="000000"/>
              </a:solidFill>
              <a:latin typeface="Calibri"/>
              <a:cs typeface="Calibri"/>
            </a:rPr>
            <a:pPr/>
            <a:t>V   = 12V</a:t>
          </a:fld>
          <a:endParaRPr lang="en-US" sz="8000"/>
        </a:p>
      </xdr:txBody>
    </xdr:sp>
    <xdr:clientData/>
  </xdr:twoCellAnchor>
  <xdr:twoCellAnchor>
    <xdr:from>
      <xdr:col>24</xdr:col>
      <xdr:colOff>218514</xdr:colOff>
      <xdr:row>72</xdr:row>
      <xdr:rowOff>95249</xdr:rowOff>
    </xdr:from>
    <xdr:to>
      <xdr:col>25</xdr:col>
      <xdr:colOff>263338</xdr:colOff>
      <xdr:row>76</xdr:row>
      <xdr:rowOff>117662</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rot="16200000">
          <a:off x="14399558" y="16640735"/>
          <a:ext cx="930089" cy="2689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Phase (deg)</a:t>
          </a:r>
        </a:p>
      </xdr:txBody>
    </xdr:sp>
    <xdr:clientData/>
  </xdr:twoCellAnchor>
  <xdr:twoCellAnchor>
    <xdr:from>
      <xdr:col>13</xdr:col>
      <xdr:colOff>13449</xdr:colOff>
      <xdr:row>90</xdr:row>
      <xdr:rowOff>156883</xdr:rowOff>
    </xdr:from>
    <xdr:to>
      <xdr:col>13</xdr:col>
      <xdr:colOff>409575</xdr:colOff>
      <xdr:row>92</xdr:row>
      <xdr:rowOff>0</xdr:rowOff>
    </xdr:to>
    <xdr:sp macro="" textlink="Calculations!C21">
      <xdr:nvSpPr>
        <xdr:cNvPr id="17" name="TextBox 16">
          <a:extLst>
            <a:ext uri="{FF2B5EF4-FFF2-40B4-BE49-F238E27FC236}">
              <a16:creationId xmlns:a16="http://schemas.microsoft.com/office/drawing/2014/main" id="{00000000-0008-0000-0000-000011000000}"/>
            </a:ext>
          </a:extLst>
        </xdr:cNvPr>
        <xdr:cNvSpPr txBox="1"/>
      </xdr:nvSpPr>
      <xdr:spPr>
        <a:xfrm>
          <a:off x="7938249" y="20473708"/>
          <a:ext cx="396126" cy="233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C724B0-9755-4710-BBA9-5D5782EBAC0D}" type="TxLink">
            <a:rPr lang="en-US" sz="1100" b="0" i="0" u="none" strike="noStrike">
              <a:solidFill>
                <a:srgbClr val="000000"/>
              </a:solidFill>
              <a:latin typeface="Calibri"/>
              <a:cs typeface="Calibri"/>
            </a:rPr>
            <a:pPr/>
            <a:t>IN</a:t>
          </a:fld>
          <a:endParaRPr lang="en-US" sz="4800"/>
        </a:p>
      </xdr:txBody>
    </xdr:sp>
    <xdr:clientData/>
  </xdr:twoCellAnchor>
  <mc:AlternateContent xmlns:mc="http://schemas.openxmlformats.org/markup-compatibility/2006">
    <mc:Choice xmlns:a14="http://schemas.microsoft.com/office/drawing/2010/main" Requires="a14">
      <xdr:twoCellAnchor editAs="absolute">
        <xdr:from>
          <xdr:col>12</xdr:col>
          <xdr:colOff>28575</xdr:colOff>
          <xdr:row>89</xdr:row>
          <xdr:rowOff>0</xdr:rowOff>
        </xdr:from>
        <xdr:to>
          <xdr:col>14</xdr:col>
          <xdr:colOff>190500</xdr:colOff>
          <xdr:row>90</xdr:row>
          <xdr:rowOff>9525</xdr:rowOff>
        </xdr:to>
        <xdr:sp macro="" textlink="">
          <xdr:nvSpPr>
            <xdr:cNvPr id="2091" name="Drop Down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0.09309</cdr:x>
      <cdr:y>0.75888</cdr:y>
    </cdr:from>
    <cdr:to>
      <cdr:x>0.45226</cdr:x>
      <cdr:y>0.80394</cdr:y>
    </cdr:to>
    <cdr:sp macro="" textlink="Control_Loop_Tables!$A$77">
      <cdr:nvSpPr>
        <cdr:cNvPr id="2" name="TextBox 14">
          <a:extLst xmlns:a="http://schemas.openxmlformats.org/drawingml/2006/main">
            <a:ext uri="{FF2B5EF4-FFF2-40B4-BE49-F238E27FC236}">
              <a16:creationId xmlns:a16="http://schemas.microsoft.com/office/drawing/2014/main" id="{4F0C2FF0-516A-4E0E-887E-19FA04431586}"/>
            </a:ext>
          </a:extLst>
        </cdr:cNvPr>
        <cdr:cNvSpPr txBox="1"/>
      </cdr:nvSpPr>
      <cdr:spPr>
        <a:xfrm xmlns:a="http://schemas.openxmlformats.org/drawingml/2006/main">
          <a:off x="644712" y="3434976"/>
          <a:ext cx="2487629" cy="2039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0C36B91-8655-4CD8-AAFA-3EBF8BD138F0}" type="TxLink">
            <a:rPr lang="en-US" sz="1100" b="1" i="0" u="none" strike="noStrike">
              <a:solidFill>
                <a:srgbClr val="FF0000"/>
              </a:solidFill>
              <a:latin typeface="Calibri"/>
              <a:cs typeface="Calibri"/>
            </a:rPr>
            <a:pPr/>
            <a:t>Crossover Frequency = 2,1 kHz</a:t>
          </a:fld>
          <a:endParaRPr lang="en-US" sz="2400" b="1">
            <a:solidFill>
              <a:srgbClr val="FF0000"/>
            </a:solidFill>
            <a:latin typeface="+mn-lt"/>
            <a:cs typeface="Arial" panose="020B0604020202020204" pitchFamily="34" charset="0"/>
          </a:endParaRPr>
        </a:p>
      </cdr:txBody>
    </cdr:sp>
  </cdr:relSizeAnchor>
  <cdr:relSizeAnchor xmlns:cdr="http://schemas.openxmlformats.org/drawingml/2006/chartDrawing">
    <cdr:from>
      <cdr:x>0.09956</cdr:x>
      <cdr:y>0.81582</cdr:y>
    </cdr:from>
    <cdr:to>
      <cdr:x>0.45874</cdr:x>
      <cdr:y>0.86088</cdr:y>
    </cdr:to>
    <cdr:sp macro="" textlink="Control_Loop_Tables!$A$78">
      <cdr:nvSpPr>
        <cdr:cNvPr id="3" name="TextBox 14">
          <a:extLst xmlns:a="http://schemas.openxmlformats.org/drawingml/2006/main">
            <a:ext uri="{FF2B5EF4-FFF2-40B4-BE49-F238E27FC236}">
              <a16:creationId xmlns:a16="http://schemas.microsoft.com/office/drawing/2014/main" id="{EE5ABC53-DD0B-449B-BDE0-6C07A2ABF45B}"/>
            </a:ext>
          </a:extLst>
        </cdr:cNvPr>
        <cdr:cNvSpPr txBox="1"/>
      </cdr:nvSpPr>
      <cdr:spPr>
        <a:xfrm xmlns:a="http://schemas.openxmlformats.org/drawingml/2006/main">
          <a:off x="689536" y="3692712"/>
          <a:ext cx="2487722" cy="2039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2AF1E30-897F-4222-B4F3-A3A6FAC221A1}" type="TxLink">
            <a:rPr lang="en-US" sz="1100" b="1" i="0" u="none" strike="noStrike">
              <a:solidFill>
                <a:srgbClr val="0070C0"/>
              </a:solidFill>
              <a:latin typeface="Calibri"/>
              <a:cs typeface="Calibri"/>
            </a:rPr>
            <a:pPr/>
            <a:t>Phase Margin = 78°</a:t>
          </a:fld>
          <a:endParaRPr lang="en-US" sz="2400" b="1">
            <a:solidFill>
              <a:srgbClr val="0070C0"/>
            </a:solidFill>
            <a:latin typeface="+mn-lt"/>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592455</xdr:colOff>
      <xdr:row>2</xdr:row>
      <xdr:rowOff>83771</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06955" cy="302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1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2024</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5</xdr:row>
      <xdr:rowOff>95251</xdr:rowOff>
    </xdr:from>
    <xdr:ext cx="11229977" cy="445770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95247" y="1000126"/>
          <a:ext cx="11229977" cy="445770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b="1" i="0" baseline="0">
              <a:solidFill>
                <a:schemeClr val="tx1"/>
              </a:solidFill>
              <a:effectLst/>
              <a:latin typeface="+mn-lt"/>
              <a:ea typeface="+mn-ea"/>
              <a:cs typeface="+mn-cs"/>
            </a:rPr>
            <a:t>IMPORTANT NOTICE AND DISCLAIMER</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PROVIDES TECHNICAL AND RELIABILITY DATA (INCLUDING DATA SHEETS), DESIGN RESOURCES (INCLUDING REFERENCE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DESIGNS), APPLICATION OR OTHER DESIGN ADVICE, WEB TOOLS, SAFETY INFORMATION, AND OTHER RESOURCES “AS IS”</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AND WITH ALL FAULTS, AND DISCLAIMS ALL WARRANTIES, EXPRESS AND IMPLIED, INCLUDING WITHOUT LIMITATION ANY</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IMPLIED WARRANTIES OF MERCHANTABILITY, FITNESS FOR A PARTICULAR PURPOSE OR NON-INFRINGEMENT OF THIRD</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PARTY INTELLECTUAL PROPERTY RIGHTS.</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These resources are intended for skilled developers designing with TI products. You are solely responsible for (1) selecting the appropriate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products for your application, (2) designing, validating and testing your application, and (3) ensuring your application meets applicable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standards, and any other safety, security, regulatory or other requirements.</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These resources are subject to change without notice. TI grants you permission to use these resources only for development of an</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application that uses the TI products described in the resource. Other reproduction and display of these resources is prohibited. No license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is granted to any other TI intellectual property right or to any third party intellectual property right. TI disclaims responsibility for, and you</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will fully indemnify TI and its representatives against, any claims, damages, costs, losses, and liabilities arising out of your use of these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resources.</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TI’s products are provided subject to TI’s Terms of Sale or other applicable terms available either on ti.com or provided in conjunction with</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such TI products. TI’s provision of these resources does not expand or otherwise alter TI’s applicable warranties or warranty disclaimers for</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products.</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objects to and rejects any additional or different terms you may have proposed. IMPORTANT NOTICE</a:t>
          </a:r>
          <a:endParaRPr lang="en-US" sz="1000">
            <a:effectLst/>
          </a:endParaRPr>
        </a:p>
        <a:p>
          <a:pPr algn="ct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Mailing Address: Texas Instruments, Post Office Box 655303, Dallas, Texas 75265</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Copyright © 2024, Texas Instruments Incorporated</a:t>
          </a:r>
          <a:endParaRPr lang="en-US" sz="1000">
            <a:effectLst/>
          </a:endParaRPr>
        </a:p>
      </xdr:txBody>
    </xdr:sp>
    <xdr:clientData/>
  </xdr:oneCellAnchor>
  <xdr:oneCellAnchor>
    <xdr:from>
      <xdr:col>0</xdr:col>
      <xdr:colOff>95247</xdr:colOff>
      <xdr:row>30</xdr:row>
      <xdr:rowOff>28576</xdr:rowOff>
    </xdr:from>
    <xdr:ext cx="11229977" cy="685799"/>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95247" y="5457826"/>
          <a:ext cx="11229977" cy="685799"/>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10231751</xdr:colOff>
      <xdr:row>2</xdr:row>
      <xdr:rowOff>4816928</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0</xdr:rowOff>
    </xdr:from>
    <xdr:to>
      <xdr:col>1</xdr:col>
      <xdr:colOff>10231751</xdr:colOff>
      <xdr:row>4</xdr:row>
      <xdr:rowOff>4816928</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59634</xdr:colOff>
      <xdr:row>105</xdr:row>
      <xdr:rowOff>49693</xdr:rowOff>
    </xdr:from>
    <xdr:to>
      <xdr:col>23</xdr:col>
      <xdr:colOff>119714</xdr:colOff>
      <xdr:row>119</xdr:row>
      <xdr:rowOff>291127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468677" y="16416128"/>
          <a:ext cx="10479601" cy="3021205"/>
        </a:xfrm>
        <a:prstGeom prst="rect">
          <a:avLst/>
        </a:prstGeom>
      </xdr:spPr>
    </xdr:pic>
    <xdr:clientData/>
  </xdr:twoCellAnchor>
  <xdr:twoCellAnchor editAs="oneCell">
    <xdr:from>
      <xdr:col>3</xdr:col>
      <xdr:colOff>2194891</xdr:colOff>
      <xdr:row>100</xdr:row>
      <xdr:rowOff>182217</xdr:rowOff>
    </xdr:from>
    <xdr:to>
      <xdr:col>5</xdr:col>
      <xdr:colOff>539184</xdr:colOff>
      <xdr:row>103</xdr:row>
      <xdr:rowOff>172770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7354956" y="15215152"/>
          <a:ext cx="2638793" cy="5620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308511</xdr:colOff>
      <xdr:row>64</xdr:row>
      <xdr:rowOff>26319</xdr:rowOff>
    </xdr:from>
    <xdr:to>
      <xdr:col>13</xdr:col>
      <xdr:colOff>100535</xdr:colOff>
      <xdr:row>73</xdr:row>
      <xdr:rowOff>174209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3860776" y="12352790"/>
          <a:ext cx="6414700" cy="1862390"/>
        </a:xfrm>
        <a:prstGeom prst="rect">
          <a:avLst/>
        </a:prstGeom>
      </xdr:spPr>
    </xdr:pic>
    <xdr:clientData/>
  </xdr:twoCellAnchor>
  <xdr:twoCellAnchor>
    <xdr:from>
      <xdr:col>13</xdr:col>
      <xdr:colOff>1051560</xdr:colOff>
      <xdr:row>49</xdr:row>
      <xdr:rowOff>45720</xdr:rowOff>
    </xdr:from>
    <xdr:to>
      <xdr:col>24</xdr:col>
      <xdr:colOff>563880</xdr:colOff>
      <xdr:row>73</xdr:row>
      <xdr:rowOff>19050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44</xdr:col>
      <xdr:colOff>186690</xdr:colOff>
      <xdr:row>39</xdr:row>
      <xdr:rowOff>167640</xdr:rowOff>
    </xdr:from>
    <xdr:to>
      <xdr:col>47</xdr:col>
      <xdr:colOff>162823</xdr:colOff>
      <xdr:row>45</xdr:row>
      <xdr:rowOff>69931</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31171515" y="7901940"/>
          <a:ext cx="1804933" cy="1045291"/>
        </a:xfrm>
        <a:prstGeom prst="rect">
          <a:avLst/>
        </a:prstGeom>
      </xdr:spPr>
    </xdr:pic>
    <xdr:clientData/>
  </xdr:twoCellAnchor>
  <xdr:twoCellAnchor editAs="oneCell">
    <xdr:from>
      <xdr:col>46</xdr:col>
      <xdr:colOff>247650</xdr:colOff>
      <xdr:row>40</xdr:row>
      <xdr:rowOff>60960</xdr:rowOff>
    </xdr:from>
    <xdr:to>
      <xdr:col>50</xdr:col>
      <xdr:colOff>567929</xdr:colOff>
      <xdr:row>44</xdr:row>
      <xdr:rowOff>129611</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32708850" y="7985760"/>
          <a:ext cx="2758679" cy="830651"/>
        </a:xfrm>
        <a:prstGeom prst="rect">
          <a:avLst/>
        </a:prstGeom>
      </xdr:spPr>
    </xdr:pic>
    <xdr:clientData/>
  </xdr:twoCellAnchor>
  <xdr:twoCellAnchor>
    <xdr:from>
      <xdr:col>43</xdr:col>
      <xdr:colOff>30480</xdr:colOff>
      <xdr:row>49</xdr:row>
      <xdr:rowOff>64770</xdr:rowOff>
    </xdr:from>
    <xdr:to>
      <xdr:col>54</xdr:col>
      <xdr:colOff>144780</xdr:colOff>
      <xdr:row>73</xdr:row>
      <xdr:rowOff>38100</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7620</xdr:colOff>
      <xdr:row>21</xdr:row>
      <xdr:rowOff>121920</xdr:rowOff>
    </xdr:from>
    <xdr:to>
      <xdr:col>25</xdr:col>
      <xdr:colOff>45720</xdr:colOff>
      <xdr:row>45</xdr:row>
      <xdr:rowOff>80010</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313764</xdr:colOff>
      <xdr:row>48</xdr:row>
      <xdr:rowOff>179295</xdr:rowOff>
    </xdr:from>
    <xdr:to>
      <xdr:col>41</xdr:col>
      <xdr:colOff>438673</xdr:colOff>
      <xdr:row>72</xdr:row>
      <xdr:rowOff>152625</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0</xdr:colOff>
      <xdr:row>22</xdr:row>
      <xdr:rowOff>0</xdr:rowOff>
    </xdr:from>
    <xdr:to>
      <xdr:col>41</xdr:col>
      <xdr:colOff>97865</xdr:colOff>
      <xdr:row>45</xdr:row>
      <xdr:rowOff>144855</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0</xdr:colOff>
      <xdr:row>22</xdr:row>
      <xdr:rowOff>0</xdr:rowOff>
    </xdr:from>
    <xdr:to>
      <xdr:col>54</xdr:col>
      <xdr:colOff>269688</xdr:colOff>
      <xdr:row>45</xdr:row>
      <xdr:rowOff>144855</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952501</xdr:colOff>
      <xdr:row>89</xdr:row>
      <xdr:rowOff>89647</xdr:rowOff>
    </xdr:from>
    <xdr:to>
      <xdr:col>11</xdr:col>
      <xdr:colOff>100446</xdr:colOff>
      <xdr:row>110</xdr:row>
      <xdr:rowOff>98671</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10"/>
        <a:stretch>
          <a:fillRect/>
        </a:stretch>
      </xdr:blipFill>
      <xdr:spPr>
        <a:xfrm>
          <a:off x="952501" y="17212235"/>
          <a:ext cx="7742857" cy="4009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490699/Desktop/My%20devices/Excelsheet%20needs%20work/calculator%20project/LM5123_Excel_Quickstart_Calculator_for_Boost_Controller_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Converter"/>
      <sheetName val="Variable_Management"/>
      <sheetName val="Eff_vs_IOUT"/>
      <sheetName val="Loop_Modeling"/>
      <sheetName val="Constants"/>
      <sheetName val="Plot_Management_Eff"/>
      <sheetName val="Plot_Management_Sch"/>
      <sheetName val="Lists"/>
      <sheetName val="Sheet1"/>
    </sheetNames>
    <sheetDataSet>
      <sheetData sheetId="0"/>
      <sheetData sheetId="1">
        <row r="127">
          <cell r="B127">
            <v>81818.181818181751</v>
          </cell>
        </row>
      </sheetData>
      <sheetData sheetId="2">
        <row r="7">
          <cell r="S7">
            <v>0</v>
          </cell>
          <cell r="AI7">
            <v>1.13161834494674E-3</v>
          </cell>
          <cell r="AO7">
            <v>0.63790833399516844</v>
          </cell>
          <cell r="AP7">
            <v>2.5461412761301648E-3</v>
          </cell>
          <cell r="AW7">
            <v>0</v>
          </cell>
        </row>
        <row r="8">
          <cell r="S8">
            <v>9.3333333333333338E-2</v>
          </cell>
          <cell r="AI8">
            <v>5.3029569450771509E-2</v>
          </cell>
          <cell r="AO8">
            <v>0.63990566732850174</v>
          </cell>
          <cell r="AP8">
            <v>2.663741276130165E-3</v>
          </cell>
          <cell r="AW8">
            <v>72.074743546197936</v>
          </cell>
        </row>
        <row r="9">
          <cell r="S9">
            <v>0.18666666666666668</v>
          </cell>
          <cell r="AI9">
            <v>0.10503205388992962</v>
          </cell>
          <cell r="AO9">
            <v>0.64195526732850172</v>
          </cell>
          <cell r="AP9">
            <v>3.0165412761301649E-3</v>
          </cell>
          <cell r="AW9">
            <v>83.278946320422875</v>
          </cell>
        </row>
        <row r="10">
          <cell r="S10">
            <v>0.28000000000000003</v>
          </cell>
          <cell r="AI10">
            <v>0.15713907166242103</v>
          </cell>
          <cell r="AO10">
            <v>0.6440571339951684</v>
          </cell>
          <cell r="AP10">
            <v>3.6045412761301645E-3</v>
          </cell>
          <cell r="AW10">
            <v>87.823398093854962</v>
          </cell>
        </row>
        <row r="11">
          <cell r="S11">
            <v>0.37333333333333335</v>
          </cell>
          <cell r="AI11">
            <v>0.20935062276824581</v>
          </cell>
          <cell r="AO11">
            <v>0.64621126732850176</v>
          </cell>
          <cell r="AP11">
            <v>4.4277412761301654E-3</v>
          </cell>
          <cell r="AW11">
            <v>90.281532425115813</v>
          </cell>
        </row>
        <row r="12">
          <cell r="S12">
            <v>0.46666666666666667</v>
          </cell>
          <cell r="AI12">
            <v>0.26166670720740393</v>
          </cell>
          <cell r="AO12">
            <v>0.6484176673285017</v>
          </cell>
          <cell r="AP12">
            <v>5.4861412761301655E-3</v>
          </cell>
          <cell r="AW12">
            <v>91.819206893500748</v>
          </cell>
        </row>
        <row r="13">
          <cell r="S13">
            <v>0.56000000000000005</v>
          </cell>
          <cell r="AI13">
            <v>0.31408732497989528</v>
          </cell>
          <cell r="AO13">
            <v>0.65067633399516844</v>
          </cell>
          <cell r="AP13">
            <v>6.7797412761301645E-3</v>
          </cell>
          <cell r="AW13">
            <v>92.870019459561121</v>
          </cell>
        </row>
        <row r="14">
          <cell r="S14">
            <v>0.65333333333333332</v>
          </cell>
          <cell r="AI14">
            <v>0.36661247608572006</v>
          </cell>
          <cell r="AO14">
            <v>0.65298726732850176</v>
          </cell>
          <cell r="AP14">
            <v>8.308541276130163E-3</v>
          </cell>
          <cell r="AW14">
            <v>93.632190379295068</v>
          </cell>
        </row>
        <row r="15">
          <cell r="S15">
            <v>0.7466666666666667</v>
          </cell>
          <cell r="AI15">
            <v>0.41924216052487823</v>
          </cell>
          <cell r="AO15">
            <v>0.65535046732850177</v>
          </cell>
          <cell r="AP15">
            <v>1.0072541276130166E-2</v>
          </cell>
          <cell r="AW15">
            <v>94.209194553124718</v>
          </cell>
        </row>
        <row r="16">
          <cell r="S16">
            <v>0.84000000000000008</v>
          </cell>
          <cell r="AI16">
            <v>0.4719763782973696</v>
          </cell>
          <cell r="AO16">
            <v>0.65776593399516836</v>
          </cell>
          <cell r="AP16">
            <v>1.2071741276130166E-2</v>
          </cell>
          <cell r="AW16">
            <v>94.660327183697774</v>
          </cell>
        </row>
        <row r="17">
          <cell r="S17">
            <v>0.93333333333333335</v>
          </cell>
          <cell r="AI17">
            <v>0.52481512940319441</v>
          </cell>
          <cell r="AO17">
            <v>0.66023366732850175</v>
          </cell>
          <cell r="AP17">
            <v>1.4306141276130167E-2</v>
          </cell>
          <cell r="AW17">
            <v>95.022008446023904</v>
          </cell>
        </row>
        <row r="18">
          <cell r="S18">
            <v>1.0266666666666666</v>
          </cell>
          <cell r="AI18">
            <v>0.57775841384235238</v>
          </cell>
          <cell r="AO18">
            <v>0.66275366732850172</v>
          </cell>
          <cell r="AP18">
            <v>1.6775741276130161E-2</v>
          </cell>
          <cell r="AW18">
            <v>95.317844151427352</v>
          </cell>
        </row>
        <row r="19">
          <cell r="S19">
            <v>1.1200000000000001</v>
          </cell>
          <cell r="AI19">
            <v>0.63080623161484384</v>
          </cell>
          <cell r="AO19">
            <v>0.66532593399516837</v>
          </cell>
          <cell r="AP19">
            <v>1.9480541276130164E-2</v>
          </cell>
          <cell r="AW19">
            <v>95.563805969178546</v>
          </cell>
        </row>
        <row r="20">
          <cell r="S20">
            <v>1.2133333333333334</v>
          </cell>
          <cell r="AI20">
            <v>0.68395858272066867</v>
          </cell>
          <cell r="AO20">
            <v>0.66795046732850172</v>
          </cell>
          <cell r="AP20">
            <v>2.242054127613017E-2</v>
          </cell>
          <cell r="AW20">
            <v>95.771086688792309</v>
          </cell>
        </row>
        <row r="21">
          <cell r="S21">
            <v>1.3066666666666666</v>
          </cell>
          <cell r="AI21">
            <v>0.73721546715982667</v>
          </cell>
          <cell r="AO21">
            <v>0.67062726732850175</v>
          </cell>
          <cell r="AP21">
            <v>2.5595741276130162E-2</v>
          </cell>
          <cell r="AW21">
            <v>95.947763185503092</v>
          </cell>
        </row>
        <row r="22">
          <cell r="S22">
            <v>1.4000000000000001</v>
          </cell>
          <cell r="AI22">
            <v>0.79057688493231826</v>
          </cell>
          <cell r="AO22">
            <v>0.67335633399516848</v>
          </cell>
          <cell r="AP22">
            <v>2.9006141276130167E-2</v>
          </cell>
          <cell r="AW22">
            <v>96.099810151145334</v>
          </cell>
        </row>
        <row r="23">
          <cell r="S23">
            <v>1.4933333333333334</v>
          </cell>
          <cell r="AI23">
            <v>0.84404283603814301</v>
          </cell>
          <cell r="AO23">
            <v>0.67613766732850178</v>
          </cell>
          <cell r="AP23">
            <v>3.2651741276130172E-2</v>
          </cell>
          <cell r="AW23">
            <v>96.231742235239238</v>
          </cell>
        </row>
        <row r="24">
          <cell r="S24">
            <v>1.5866666666666667</v>
          </cell>
          <cell r="AI24">
            <v>0.89761332047730091</v>
          </cell>
          <cell r="AO24">
            <v>0.67897126732850177</v>
          </cell>
          <cell r="AP24">
            <v>3.6532541276130169E-2</v>
          </cell>
          <cell r="AW24">
            <v>96.347034357137446</v>
          </cell>
        </row>
        <row r="25">
          <cell r="S25">
            <v>1.6800000000000002</v>
          </cell>
          <cell r="AI25">
            <v>0.95128833824979242</v>
          </cell>
          <cell r="AO25">
            <v>0.68185713399516845</v>
          </cell>
          <cell r="AP25">
            <v>4.0648541276130171E-2</v>
          </cell>
          <cell r="AW25">
            <v>96.448404725179344</v>
          </cell>
        </row>
        <row r="26">
          <cell r="S26">
            <v>1.7733333333333334</v>
          </cell>
          <cell r="AI26">
            <v>1.0050678893556171</v>
          </cell>
          <cell r="AO26">
            <v>0.68479526732850171</v>
          </cell>
          <cell r="AP26">
            <v>4.4999741276130177E-2</v>
          </cell>
          <cell r="AW26">
            <v>96.538010182006872</v>
          </cell>
        </row>
        <row r="27">
          <cell r="S27">
            <v>1.8666666666666667</v>
          </cell>
          <cell r="AI27">
            <v>1.0589519737947755</v>
          </cell>
          <cell r="AO27">
            <v>0.68778566732850177</v>
          </cell>
          <cell r="AP27">
            <v>4.9586141276130175E-2</v>
          </cell>
          <cell r="AW27">
            <v>96.617584006656713</v>
          </cell>
        </row>
        <row r="28">
          <cell r="S28">
            <v>1.9600000000000002</v>
          </cell>
          <cell r="AI28">
            <v>1.112940591567267</v>
          </cell>
          <cell r="AO28">
            <v>0.69082833399516841</v>
          </cell>
          <cell r="AP28">
            <v>5.4407741276130184E-2</v>
          </cell>
          <cell r="AW28">
            <v>96.688535023683485</v>
          </cell>
        </row>
        <row r="29">
          <cell r="S29">
            <v>2.0533333333333332</v>
          </cell>
          <cell r="AI29">
            <v>1.1670337426730912</v>
          </cell>
          <cell r="AO29">
            <v>0.69392326732850174</v>
          </cell>
          <cell r="AP29">
            <v>5.9464541276130156E-2</v>
          </cell>
          <cell r="AW29">
            <v>96.752020127868875</v>
          </cell>
        </row>
        <row r="30">
          <cell r="S30">
            <v>2.1466666666666669</v>
          </cell>
          <cell r="AI30">
            <v>1.2212314271122497</v>
          </cell>
          <cell r="AO30">
            <v>0.69707046732850175</v>
          </cell>
          <cell r="AP30">
            <v>6.4756541276130161E-2</v>
          </cell>
          <cell r="AW30">
            <v>96.808998187822311</v>
          </cell>
        </row>
        <row r="31">
          <cell r="S31">
            <v>2.2400000000000002</v>
          </cell>
          <cell r="AI31">
            <v>1.275533644884741</v>
          </cell>
          <cell r="AO31">
            <v>0.70026993399516846</v>
          </cell>
          <cell r="AP31">
            <v>7.0283741276130171E-2</v>
          </cell>
          <cell r="AW31">
            <v>96.860270677489993</v>
          </cell>
        </row>
        <row r="32">
          <cell r="S32">
            <v>2.3333333333333335</v>
          </cell>
          <cell r="AI32">
            <v>1.3299403959905658</v>
          </cell>
          <cell r="AO32">
            <v>0.70352166732850174</v>
          </cell>
          <cell r="AP32">
            <v>7.6046141276130172E-2</v>
          </cell>
          <cell r="AW32">
            <v>96.906512697769813</v>
          </cell>
        </row>
        <row r="33">
          <cell r="S33">
            <v>2.4266666666666667</v>
          </cell>
          <cell r="AI33">
            <v>1.384451680429724</v>
          </cell>
          <cell r="AO33">
            <v>0.70682566732850183</v>
          </cell>
          <cell r="AP33">
            <v>8.2043741276130178E-2</v>
          </cell>
          <cell r="AW33">
            <v>96.948296939349646</v>
          </cell>
        </row>
        <row r="34">
          <cell r="S34">
            <v>2.52</v>
          </cell>
          <cell r="AI34">
            <v>1.4390674982022156</v>
          </cell>
          <cell r="AO34">
            <v>0.71018193399516838</v>
          </cell>
          <cell r="AP34">
            <v>8.827654127613016E-2</v>
          </cell>
          <cell r="AW34">
            <v>96.986112392178498</v>
          </cell>
        </row>
        <row r="35">
          <cell r="S35">
            <v>2.6133333333333333</v>
          </cell>
          <cell r="AI35">
            <v>1.4937878493080401</v>
          </cell>
          <cell r="AO35">
            <v>0.71359046732850173</v>
          </cell>
          <cell r="AP35">
            <v>9.4744541276130148E-2</v>
          </cell>
          <cell r="AW35">
            <v>97.020379097850068</v>
          </cell>
        </row>
        <row r="36">
          <cell r="S36">
            <v>2.706666666666667</v>
          </cell>
          <cell r="AI36">
            <v>1.5486127337471982</v>
          </cell>
          <cell r="AO36">
            <v>0.71705126732850177</v>
          </cell>
          <cell r="AP36">
            <v>0.10144774127613021</v>
          </cell>
          <cell r="AW36">
            <v>97.051459888071491</v>
          </cell>
        </row>
        <row r="37">
          <cell r="S37">
            <v>2.8000000000000003</v>
          </cell>
          <cell r="AI37">
            <v>1.6035421515196897</v>
          </cell>
          <cell r="AO37">
            <v>0.72056433399516839</v>
          </cell>
          <cell r="AP37">
            <v>0.10838614127613017</v>
          </cell>
          <cell r="AW37">
            <v>97.079669803929562</v>
          </cell>
        </row>
        <row r="38">
          <cell r="S38">
            <v>2.8933333333333335</v>
          </cell>
          <cell r="AI38">
            <v>1.6585761026255148</v>
          </cell>
          <cell r="AO38">
            <v>0.72412966732850181</v>
          </cell>
          <cell r="AP38">
            <v>0.11555974127613018</v>
          </cell>
          <cell r="AW38">
            <v>97.10528371349254</v>
          </cell>
        </row>
        <row r="39">
          <cell r="S39">
            <v>2.9866666666666668</v>
          </cell>
          <cell r="AI39">
            <v>1.7137145870646726</v>
          </cell>
          <cell r="AO39">
            <v>0.7277472673285017</v>
          </cell>
          <cell r="AP39">
            <v>0.12296854127613016</v>
          </cell>
          <cell r="AW39">
            <v>97.1285425173742</v>
          </cell>
        </row>
        <row r="40">
          <cell r="S40">
            <v>3.08</v>
          </cell>
          <cell r="AI40">
            <v>1.768957604837164</v>
          </cell>
          <cell r="AO40">
            <v>0.7314171339951685</v>
          </cell>
          <cell r="AP40">
            <v>0.13061254127613015</v>
          </cell>
          <cell r="AW40">
            <v>97.149658238475084</v>
          </cell>
        </row>
        <row r="41">
          <cell r="S41">
            <v>3.1733333333333333</v>
          </cell>
          <cell r="AI41">
            <v>1.8243051559429886</v>
          </cell>
          <cell r="AO41">
            <v>0.73513926732850177</v>
          </cell>
          <cell r="AP41">
            <v>0.13849174127613015</v>
          </cell>
          <cell r="AW41">
            <v>97.168818223165886</v>
          </cell>
        </row>
        <row r="42">
          <cell r="S42">
            <v>3.2666666666666666</v>
          </cell>
          <cell r="AI42">
            <v>1.8797572403821465</v>
          </cell>
          <cell r="AO42">
            <v>0.73891366732850172</v>
          </cell>
          <cell r="AP42">
            <v>0.14660614127613011</v>
          </cell>
          <cell r="AW42">
            <v>97.18618862977246</v>
          </cell>
        </row>
        <row r="43">
          <cell r="S43">
            <v>3.3600000000000003</v>
          </cell>
          <cell r="AI43">
            <v>1.9353138581546381</v>
          </cell>
          <cell r="AO43">
            <v>0.74274033399516837</v>
          </cell>
          <cell r="AP43">
            <v>0.15495574127613018</v>
          </cell>
          <cell r="AW43">
            <v>97.201917341538817</v>
          </cell>
        </row>
        <row r="44">
          <cell r="S44">
            <v>3.4533333333333336</v>
          </cell>
          <cell r="AI44">
            <v>1.9909750092604632</v>
          </cell>
          <cell r="AO44">
            <v>0.7466192673285017</v>
          </cell>
          <cell r="AP44">
            <v>0.16354054127613019</v>
          </cell>
          <cell r="AW44">
            <v>97.216136411876164</v>
          </cell>
        </row>
        <row r="45">
          <cell r="S45">
            <v>3.5466666666666669</v>
          </cell>
          <cell r="AI45">
            <v>2.0467406936996211</v>
          </cell>
          <cell r="AO45">
            <v>0.75055046732850172</v>
          </cell>
          <cell r="AP45">
            <v>0.17236054127613018</v>
          </cell>
          <cell r="AW45">
            <v>97.228964127228892</v>
          </cell>
        </row>
        <row r="46">
          <cell r="S46">
            <v>3.64</v>
          </cell>
          <cell r="AI46">
            <v>2.1026109114721123</v>
          </cell>
          <cell r="AO46">
            <v>0.75453393399516833</v>
          </cell>
          <cell r="AP46">
            <v>0.18141574127613017</v>
          </cell>
          <cell r="AW46">
            <v>97.240506755547358</v>
          </cell>
        </row>
        <row r="47">
          <cell r="S47">
            <v>3.7333333333333334</v>
          </cell>
          <cell r="AI47">
            <v>2.1585856625779374</v>
          </cell>
          <cell r="AO47">
            <v>0.75856966732850173</v>
          </cell>
          <cell r="AP47">
            <v>0.1907061412761302</v>
          </cell>
          <cell r="AW47">
            <v>97.250860034884298</v>
          </cell>
        </row>
        <row r="48">
          <cell r="S48">
            <v>3.8266666666666667</v>
          </cell>
          <cell r="AI48">
            <v>2.2146649470170954</v>
          </cell>
          <cell r="AO48">
            <v>0.76265766732850171</v>
          </cell>
          <cell r="AP48">
            <v>0.20023174127613019</v>
          </cell>
          <cell r="AW48">
            <v>97.260110446088532</v>
          </cell>
        </row>
        <row r="49">
          <cell r="S49">
            <v>3.9200000000000004</v>
          </cell>
          <cell r="AI49">
            <v>2.2708487647895872</v>
          </cell>
          <cell r="AO49">
            <v>0.76679793399516849</v>
          </cell>
          <cell r="AP49">
            <v>0.20999254127613026</v>
          </cell>
          <cell r="AW49">
            <v>97.268336305266828</v>
          </cell>
        </row>
        <row r="50">
          <cell r="S50">
            <v>4.0133333333333336</v>
          </cell>
          <cell r="AI50">
            <v>2.3271371158954119</v>
          </cell>
          <cell r="AO50">
            <v>0.77099046732850174</v>
          </cell>
          <cell r="AP50">
            <v>0.21998854127613024</v>
          </cell>
          <cell r="AW50">
            <v>97.275608705104659</v>
          </cell>
        </row>
        <row r="51">
          <cell r="S51">
            <v>4.1066666666666665</v>
          </cell>
          <cell r="AI51">
            <v>2.3835300003345692</v>
          </cell>
          <cell r="AO51">
            <v>0.77523526732850168</v>
          </cell>
          <cell r="AP51">
            <v>0.2302197412761301</v>
          </cell>
          <cell r="AW51">
            <v>97.281992328891221</v>
          </cell>
        </row>
        <row r="52">
          <cell r="S52">
            <v>4.2</v>
          </cell>
          <cell r="AI52">
            <v>2.4400274181070611</v>
          </cell>
          <cell r="AO52">
            <v>0.77953233399516841</v>
          </cell>
          <cell r="AP52">
            <v>0.24068614127613017</v>
          </cell>
          <cell r="AW52">
            <v>97.287546156889562</v>
          </cell>
        </row>
        <row r="53">
          <cell r="S53">
            <v>4.2933333333333339</v>
          </cell>
          <cell r="AI53">
            <v>2.496629369212886</v>
          </cell>
          <cell r="AO53">
            <v>0.78388166732850184</v>
          </cell>
          <cell r="AP53">
            <v>0.25138774127613023</v>
          </cell>
          <cell r="AW53">
            <v>97.29232408130369</v>
          </cell>
        </row>
        <row r="54">
          <cell r="S54">
            <v>4.3866666666666667</v>
          </cell>
          <cell r="AI54">
            <v>2.5533358536520439</v>
          </cell>
          <cell r="AO54">
            <v>0.78828326732850174</v>
          </cell>
          <cell r="AP54">
            <v>0.26232454127613014</v>
          </cell>
          <cell r="AW54">
            <v>97.296375443350129</v>
          </cell>
        </row>
        <row r="55">
          <cell r="S55">
            <v>4.4800000000000004</v>
          </cell>
          <cell r="AI55">
            <v>2.6101468714245351</v>
          </cell>
          <cell r="AO55">
            <v>0.79273713399516832</v>
          </cell>
          <cell r="AP55">
            <v>0.27349654127613016</v>
          </cell>
          <cell r="AW55">
            <v>97.299745503707015</v>
          </cell>
        </row>
        <row r="56">
          <cell r="S56">
            <v>4.5733333333333333</v>
          </cell>
          <cell r="AI56">
            <v>2.6670624225303601</v>
          </cell>
          <cell r="AO56">
            <v>0.7972432673285017</v>
          </cell>
          <cell r="AP56">
            <v>0.28490374127613011</v>
          </cell>
          <cell r="AW56">
            <v>97.302475855787279</v>
          </cell>
        </row>
        <row r="57">
          <cell r="S57">
            <v>4.666666666666667</v>
          </cell>
          <cell r="AI57">
            <v>2.724082506969518</v>
          </cell>
          <cell r="AO57">
            <v>0.80180166732850178</v>
          </cell>
          <cell r="AP57">
            <v>0.29654614127613022</v>
          </cell>
          <cell r="AW57">
            <v>97.304604789781806</v>
          </cell>
        </row>
        <row r="58">
          <cell r="S58">
            <v>4.76</v>
          </cell>
          <cell r="AI58">
            <v>2.7812071247420094</v>
          </cell>
          <cell r="AO58">
            <v>0.80641233399516843</v>
          </cell>
          <cell r="AP58">
            <v>0.3084237412761302</v>
          </cell>
          <cell r="AW58">
            <v>97.306167614181433</v>
          </cell>
        </row>
        <row r="59">
          <cell r="S59">
            <v>4.8533333333333335</v>
          </cell>
          <cell r="AI59">
            <v>2.8384362758478345</v>
          </cell>
          <cell r="AO59">
            <v>0.81107526732850177</v>
          </cell>
          <cell r="AP59">
            <v>0.32053654127613024</v>
          </cell>
          <cell r="AW59">
            <v>97.30719694046121</v>
          </cell>
        </row>
        <row r="60">
          <cell r="S60">
            <v>4.9466666666666672</v>
          </cell>
          <cell r="AI60">
            <v>2.8957699602869931</v>
          </cell>
          <cell r="AO60">
            <v>0.8157904673285018</v>
          </cell>
          <cell r="AP60">
            <v>0.33288454127613021</v>
          </cell>
          <cell r="AW60">
            <v>97.307722935758818</v>
          </cell>
        </row>
        <row r="61">
          <cell r="S61">
            <v>5.04</v>
          </cell>
          <cell r="AI61">
            <v>2.9532081780594845</v>
          </cell>
          <cell r="AO61">
            <v>0.82055793399516841</v>
          </cell>
          <cell r="AP61">
            <v>0.34546774127613017</v>
          </cell>
          <cell r="AW61">
            <v>97.307773547667992</v>
          </cell>
        </row>
        <row r="62">
          <cell r="S62">
            <v>5.1333333333333337</v>
          </cell>
          <cell r="AI62">
            <v>3.0107509291653094</v>
          </cell>
          <cell r="AO62">
            <v>0.82537766732850182</v>
          </cell>
          <cell r="AP62">
            <v>0.35828614127613029</v>
          </cell>
          <cell r="AW62">
            <v>97.307374704672227</v>
          </cell>
        </row>
        <row r="63">
          <cell r="S63">
            <v>5.2266666666666666</v>
          </cell>
          <cell r="AI63">
            <v>3.0683982136044667</v>
          </cell>
          <cell r="AO63">
            <v>0.83024966732850169</v>
          </cell>
          <cell r="AP63">
            <v>0.37133974127613001</v>
          </cell>
          <cell r="AW63">
            <v>97.306550495243812</v>
          </cell>
        </row>
        <row r="64">
          <cell r="S64">
            <v>5.32</v>
          </cell>
          <cell r="AI64">
            <v>3.1261500313769579</v>
          </cell>
          <cell r="AO64">
            <v>0.83517393399516837</v>
          </cell>
          <cell r="AP64">
            <v>0.38462854127613016</v>
          </cell>
          <cell r="AW64">
            <v>97.305323328211514</v>
          </cell>
        </row>
        <row r="65">
          <cell r="S65">
            <v>5.413333333333334</v>
          </cell>
          <cell r="AI65">
            <v>3.1840063824827829</v>
          </cell>
          <cell r="AO65">
            <v>0.84015046732850174</v>
          </cell>
          <cell r="AP65">
            <v>0.3981525412761302</v>
          </cell>
          <cell r="AW65">
            <v>97.303714076643189</v>
          </cell>
        </row>
        <row r="66">
          <cell r="S66">
            <v>5.5066666666666668</v>
          </cell>
          <cell r="AI66">
            <v>3.2419672669219408</v>
          </cell>
          <cell r="AO66">
            <v>0.84517926732850168</v>
          </cell>
          <cell r="AP66">
            <v>0.41191174127613006</v>
          </cell>
          <cell r="AW66">
            <v>97.301742207187147</v>
          </cell>
        </row>
        <row r="67">
          <cell r="S67">
            <v>5.6000000000000005</v>
          </cell>
          <cell r="AI67">
            <v>3.3000326846944326</v>
          </cell>
          <cell r="AO67">
            <v>0.85026033399516843</v>
          </cell>
          <cell r="AP67">
            <v>0.42590614127613013</v>
          </cell>
          <cell r="AW67">
            <v>97.299425896558276</v>
          </cell>
        </row>
        <row r="68">
          <cell r="S68">
            <v>5.6933333333333334</v>
          </cell>
          <cell r="AI68">
            <v>3.3582026358002577</v>
          </cell>
          <cell r="AO68">
            <v>0.85539366732850175</v>
          </cell>
          <cell r="AP68">
            <v>0.44013574127613031</v>
          </cell>
          <cell r="AW68">
            <v>97.296782136635429</v>
          </cell>
        </row>
        <row r="69">
          <cell r="S69">
            <v>5.7866666666666671</v>
          </cell>
          <cell r="AI69">
            <v>3.4164771202394162</v>
          </cell>
          <cell r="AO69">
            <v>0.86057926732850187</v>
          </cell>
          <cell r="AP69">
            <v>0.45460054127613025</v>
          </cell>
          <cell r="AW69">
            <v>97.293826829448079</v>
          </cell>
        </row>
        <row r="70">
          <cell r="S70">
            <v>5.88</v>
          </cell>
          <cell r="AI70">
            <v>3.4748561380119067</v>
          </cell>
          <cell r="AO70">
            <v>0.86581713399516835</v>
          </cell>
          <cell r="AP70">
            <v>0.46930054127613019</v>
          </cell>
          <cell r="AW70">
            <v>97.290574873169362</v>
          </cell>
        </row>
        <row r="71">
          <cell r="S71">
            <v>5.9733333333333336</v>
          </cell>
          <cell r="AI71">
            <v>3.533339689117732</v>
          </cell>
          <cell r="AO71">
            <v>0.87110726732850186</v>
          </cell>
          <cell r="AP71">
            <v>0.48423574127613017</v>
          </cell>
          <cell r="AW71">
            <v>97.287040240093262</v>
          </cell>
        </row>
        <row r="72">
          <cell r="S72">
            <v>6.0666666666666673</v>
          </cell>
          <cell r="AI72">
            <v>3.5919277735568906</v>
          </cell>
          <cell r="AO72">
            <v>0.87644966732850182</v>
          </cell>
          <cell r="AP72">
            <v>0.49940614127613037</v>
          </cell>
          <cell r="AW72">
            <v>97.283236047454679</v>
          </cell>
        </row>
        <row r="73">
          <cell r="S73">
            <v>6.16</v>
          </cell>
          <cell r="AI73">
            <v>3.6506203913293813</v>
          </cell>
          <cell r="AO73">
            <v>0.88184433399516837</v>
          </cell>
          <cell r="AP73">
            <v>0.51481174127613027</v>
          </cell>
          <cell r="AW73">
            <v>97.279174621846934</v>
          </cell>
        </row>
        <row r="74">
          <cell r="S74">
            <v>6.2533333333333339</v>
          </cell>
          <cell r="AI74">
            <v>3.7094175424352063</v>
          </cell>
          <cell r="AO74">
            <v>0.88729126732850183</v>
          </cell>
          <cell r="AP74">
            <v>0.53045254127613017</v>
          </cell>
          <cell r="AW74">
            <v>97.274867557902127</v>
          </cell>
        </row>
        <row r="75">
          <cell r="S75">
            <v>6.3466666666666667</v>
          </cell>
          <cell r="AI75">
            <v>3.7683192268743637</v>
          </cell>
          <cell r="AO75">
            <v>0.89279046732850165</v>
          </cell>
          <cell r="AP75">
            <v>0.54632854127613006</v>
          </cell>
          <cell r="AW75">
            <v>97.270325771821732</v>
          </cell>
        </row>
        <row r="76">
          <cell r="S76">
            <v>6.44</v>
          </cell>
          <cell r="AI76">
            <v>3.8273254446468554</v>
          </cell>
          <cell r="AO76">
            <v>0.89834193399516837</v>
          </cell>
          <cell r="AP76">
            <v>0.56243974127613017</v>
          </cell>
          <cell r="AW76">
            <v>97.265559550277132</v>
          </cell>
        </row>
        <row r="77">
          <cell r="S77">
            <v>6.5333333333333332</v>
          </cell>
          <cell r="AI77">
            <v>3.8864361957526796</v>
          </cell>
          <cell r="AO77">
            <v>0.90394566732850168</v>
          </cell>
          <cell r="AP77">
            <v>0.57878614127612993</v>
          </cell>
          <cell r="AW77">
            <v>97.260578595140458</v>
          </cell>
        </row>
        <row r="78">
          <cell r="S78">
            <v>6.6266666666666669</v>
          </cell>
          <cell r="AI78">
            <v>3.9456514801918376</v>
          </cell>
          <cell r="AO78">
            <v>0.90960166732850167</v>
          </cell>
          <cell r="AP78">
            <v>0.59536774127613012</v>
          </cell>
          <cell r="AW78">
            <v>97.255392064455208</v>
          </cell>
        </row>
        <row r="79">
          <cell r="S79">
            <v>6.7200000000000006</v>
          </cell>
          <cell r="AI79">
            <v>4.0049712979643299</v>
          </cell>
          <cell r="AO79">
            <v>0.91530993399516836</v>
          </cell>
          <cell r="AP79">
            <v>0.6121845412761302</v>
          </cell>
          <cell r="AW79">
            <v>97.250008610009715</v>
          </cell>
        </row>
        <row r="80">
          <cell r="S80">
            <v>6.8133333333333335</v>
          </cell>
          <cell r="AI80">
            <v>4.0643956490701543</v>
          </cell>
          <cell r="AO80">
            <v>0.92107046732850173</v>
          </cell>
          <cell r="AP80">
            <v>0.62923654127613027</v>
          </cell>
          <cell r="AW80">
            <v>97.244436411838009</v>
          </cell>
        </row>
        <row r="81">
          <cell r="S81">
            <v>6.9066666666666672</v>
          </cell>
          <cell r="AI81">
            <v>4.1239245335093129</v>
          </cell>
          <cell r="AO81">
            <v>0.92688326732850179</v>
          </cell>
          <cell r="AP81">
            <v>0.64652374127613033</v>
          </cell>
          <cell r="AW81">
            <v>97.238683209937207</v>
          </cell>
        </row>
        <row r="82">
          <cell r="S82">
            <v>7</v>
          </cell>
          <cell r="AI82">
            <v>4.183557951281804</v>
          </cell>
          <cell r="AO82">
            <v>0.93274833399516832</v>
          </cell>
          <cell r="AP82">
            <v>0.66404614127613015</v>
          </cell>
          <cell r="AW82">
            <v>97.232756333459918</v>
          </cell>
        </row>
        <row r="83">
          <cell r="S83">
            <v>7.0933333333333337</v>
          </cell>
          <cell r="AI83">
            <v>4.2432959023876284</v>
          </cell>
          <cell r="AO83">
            <v>0.93866566732850176</v>
          </cell>
          <cell r="AP83">
            <v>0.68180374127613019</v>
          </cell>
          <cell r="AW83">
            <v>97.226662727613117</v>
          </cell>
        </row>
        <row r="84">
          <cell r="S84">
            <v>7.1866666666666674</v>
          </cell>
          <cell r="AI84">
            <v>4.3031383868267872</v>
          </cell>
          <cell r="AO84">
            <v>0.94463526732850167</v>
          </cell>
          <cell r="AP84">
            <v>0.69979654127613033</v>
          </cell>
          <cell r="AW84">
            <v>97.220408978470843</v>
          </cell>
        </row>
        <row r="85">
          <cell r="S85">
            <v>7.28</v>
          </cell>
          <cell r="AI85">
            <v>4.3630854045992784</v>
          </cell>
          <cell r="AO85">
            <v>0.95065713399516838</v>
          </cell>
          <cell r="AP85">
            <v>0.71802454127613013</v>
          </cell>
          <cell r="AW85">
            <v>97.214001335887403</v>
          </cell>
        </row>
        <row r="86">
          <cell r="S86">
            <v>7.373333333333334</v>
          </cell>
          <cell r="AI86">
            <v>4.4231369557051039</v>
          </cell>
          <cell r="AO86">
            <v>0.95673126732850167</v>
          </cell>
          <cell r="AP86">
            <v>0.73648774127613015</v>
          </cell>
          <cell r="AW86">
            <v>97.20744573467833</v>
          </cell>
        </row>
        <row r="87">
          <cell r="S87">
            <v>7.4666666666666668</v>
          </cell>
          <cell r="AI87">
            <v>4.4832930401442619</v>
          </cell>
          <cell r="AO87">
            <v>0.96285766732850175</v>
          </cell>
          <cell r="AP87">
            <v>0.75518614127613026</v>
          </cell>
          <cell r="AW87">
            <v>97.200747814220009</v>
          </cell>
        </row>
        <row r="88">
          <cell r="S88">
            <v>7.5600000000000005</v>
          </cell>
          <cell r="AI88">
            <v>4.5435536579167533</v>
          </cell>
          <cell r="AO88">
            <v>0.96903633399516842</v>
          </cell>
          <cell r="AP88">
            <v>0.77411974127613048</v>
          </cell>
          <cell r="AW88">
            <v>97.19391293660415</v>
          </cell>
        </row>
        <row r="89">
          <cell r="S89">
            <v>7.6533333333333333</v>
          </cell>
          <cell r="AI89">
            <v>4.6039188090225771</v>
          </cell>
          <cell r="AO89">
            <v>0.97526726732850166</v>
          </cell>
          <cell r="AP89">
            <v>0.79328854127613024</v>
          </cell>
          <cell r="AW89">
            <v>97.186946203469688</v>
          </cell>
        </row>
        <row r="90">
          <cell r="S90">
            <v>7.746666666666667</v>
          </cell>
          <cell r="AI90">
            <v>4.6643884934617352</v>
          </cell>
          <cell r="AO90">
            <v>0.98155046732850182</v>
          </cell>
          <cell r="AP90">
            <v>0.81269254127613033</v>
          </cell>
          <cell r="AW90">
            <v>97.179852471623491</v>
          </cell>
        </row>
        <row r="91">
          <cell r="S91">
            <v>7.8400000000000007</v>
          </cell>
          <cell r="AI91">
            <v>4.7249627112342276</v>
          </cell>
          <cell r="AO91">
            <v>0.98788593399516844</v>
          </cell>
          <cell r="AP91">
            <v>0.83233174127613052</v>
          </cell>
          <cell r="AW91">
            <v>97.172636367549998</v>
          </cell>
        </row>
        <row r="92">
          <cell r="S92">
            <v>7.9333333333333336</v>
          </cell>
          <cell r="AI92">
            <v>4.7856414623400516</v>
          </cell>
          <cell r="AO92">
            <v>0.99427366732850175</v>
          </cell>
          <cell r="AP92">
            <v>0.85220614127613015</v>
          </cell>
          <cell r="AW92">
            <v>97.165302300901175</v>
          </cell>
        </row>
        <row r="93">
          <cell r="S93">
            <v>8.0266666666666673</v>
          </cell>
          <cell r="AI93">
            <v>4.8464247467792099</v>
          </cell>
          <cell r="AO93">
            <v>1.0007136673285018</v>
          </cell>
          <cell r="AP93">
            <v>0.87231574127613043</v>
          </cell>
          <cell r="AW93">
            <v>97.157854477049284</v>
          </cell>
        </row>
        <row r="94">
          <cell r="S94">
            <v>8.120000000000001</v>
          </cell>
          <cell r="AI94">
            <v>4.9073125645517015</v>
          </cell>
          <cell r="AO94">
            <v>1.0072059339951684</v>
          </cell>
          <cell r="AP94">
            <v>0.89266054127613048</v>
          </cell>
          <cell r="AW94">
            <v>97.150296908777591</v>
          </cell>
        </row>
        <row r="95">
          <cell r="S95">
            <v>8.2133333333333329</v>
          </cell>
          <cell r="AI95">
            <v>4.9683049156575247</v>
          </cell>
          <cell r="AO95">
            <v>1.0137504673285016</v>
          </cell>
          <cell r="AP95">
            <v>0.91324054127612997</v>
          </cell>
          <cell r="AW95">
            <v>97.142633427177358</v>
          </cell>
        </row>
        <row r="96">
          <cell r="S96">
            <v>8.3066666666666666</v>
          </cell>
          <cell r="AI96">
            <v>5.0294018000966831</v>
          </cell>
          <cell r="AO96">
            <v>1.0203472673285017</v>
          </cell>
          <cell r="AP96">
            <v>0.93405574127613</v>
          </cell>
          <cell r="AW96">
            <v>97.13486769181317</v>
          </cell>
        </row>
        <row r="97">
          <cell r="S97">
            <v>8.4</v>
          </cell>
          <cell r="AI97">
            <v>5.0906032178691749</v>
          </cell>
          <cell r="AO97">
            <v>1.0269963339951684</v>
          </cell>
          <cell r="AP97">
            <v>0.95510614127613036</v>
          </cell>
          <cell r="AW97">
            <v>97.127003200213366</v>
          </cell>
        </row>
        <row r="98">
          <cell r="S98">
            <v>8.4933333333333341</v>
          </cell>
          <cell r="AI98">
            <v>5.151909168975001</v>
          </cell>
          <cell r="AO98">
            <v>1.0336976673285017</v>
          </cell>
          <cell r="AP98">
            <v>0.97639174127613004</v>
          </cell>
          <cell r="AW98">
            <v>97.119043296737274</v>
          </cell>
        </row>
        <row r="99">
          <cell r="S99">
            <v>8.5866666666666678</v>
          </cell>
          <cell r="AI99">
            <v>5.2133196534141586</v>
          </cell>
          <cell r="AO99">
            <v>1.0404512673285016</v>
          </cell>
          <cell r="AP99">
            <v>0.99791254127613027</v>
          </cell>
          <cell r="AW99">
            <v>97.110991180866407</v>
          </cell>
        </row>
        <row r="100">
          <cell r="S100">
            <v>8.68</v>
          </cell>
          <cell r="AI100">
            <v>5.2748346711866496</v>
          </cell>
          <cell r="AO100">
            <v>1.0472571339951684</v>
          </cell>
          <cell r="AP100">
            <v>1.0196685412761304</v>
          </cell>
          <cell r="AW100">
            <v>97.102849914962846</v>
          </cell>
        </row>
        <row r="101">
          <cell r="S101">
            <v>8.7733333333333334</v>
          </cell>
          <cell r="AI101">
            <v>5.336454222292474</v>
          </cell>
          <cell r="AO101">
            <v>1.0541152673285017</v>
          </cell>
          <cell r="AP101">
            <v>1.0416597412761301</v>
          </cell>
          <cell r="AW101">
            <v>97.094622431534489</v>
          </cell>
        </row>
        <row r="102">
          <cell r="S102">
            <v>8.8666666666666671</v>
          </cell>
          <cell r="AI102">
            <v>5.3981783067316327</v>
          </cell>
          <cell r="AO102">
            <v>1.0610256673285017</v>
          </cell>
          <cell r="AP102">
            <v>1.06388614127613</v>
          </cell>
          <cell r="AW102">
            <v>97.086311540042971</v>
          </cell>
        </row>
        <row r="103">
          <cell r="S103">
            <v>8.9600000000000009</v>
          </cell>
          <cell r="AI103">
            <v>5.4600069245041238</v>
          </cell>
          <cell r="AO103">
            <v>1.0679883339951683</v>
          </cell>
          <cell r="AP103">
            <v>1.0863477412761304</v>
          </cell>
          <cell r="AW103">
            <v>97.07791993328793</v>
          </cell>
        </row>
        <row r="104">
          <cell r="S104">
            <v>9.0533333333333346</v>
          </cell>
          <cell r="AI104">
            <v>5.5219400756099501</v>
          </cell>
          <cell r="AO104">
            <v>1.0750032673285017</v>
          </cell>
          <cell r="AP104">
            <v>1.1090445412761303</v>
          </cell>
          <cell r="AW104">
            <v>97.069450193397714</v>
          </cell>
        </row>
        <row r="105">
          <cell r="S105">
            <v>9.1466666666666665</v>
          </cell>
          <cell r="AI105">
            <v>5.5839777600491072</v>
          </cell>
          <cell r="AO105">
            <v>1.0820704673285015</v>
          </cell>
          <cell r="AP105">
            <v>1.13197654127613</v>
          </cell>
          <cell r="AW105">
            <v>97.060904797454839</v>
          </cell>
        </row>
        <row r="106">
          <cell r="S106">
            <v>9.24</v>
          </cell>
          <cell r="AI106">
            <v>5.6461199778215985</v>
          </cell>
          <cell r="AO106">
            <v>1.0891899339951683</v>
          </cell>
          <cell r="AP106">
            <v>1.1551437412761303</v>
          </cell>
          <cell r="AW106">
            <v>97.052286122781609</v>
          </cell>
        </row>
        <row r="107">
          <cell r="S107">
            <v>9.3333333333333339</v>
          </cell>
          <cell r="AI107">
            <v>5.7083667289274231</v>
          </cell>
          <cell r="AO107">
            <v>1.0963616673285017</v>
          </cell>
          <cell r="AP107">
            <v>1.1785461412761302</v>
          </cell>
          <cell r="AW107">
            <v>97.043596451909877</v>
          </cell>
        </row>
        <row r="108">
          <cell r="S108">
            <v>9.4266666666666676</v>
          </cell>
          <cell r="AI108">
            <v>5.7707180133665812</v>
          </cell>
          <cell r="AO108">
            <v>1.1035856673285016</v>
          </cell>
          <cell r="AP108">
            <v>1.2021837412761303</v>
          </cell>
          <cell r="AW108">
            <v>97.034837977256586</v>
          </cell>
        </row>
        <row r="109">
          <cell r="S109">
            <v>9.52</v>
          </cell>
          <cell r="AI109">
            <v>5.8331738311390726</v>
          </cell>
          <cell r="AO109">
            <v>1.1108619339951684</v>
          </cell>
          <cell r="AP109">
            <v>1.22605654127613</v>
          </cell>
          <cell r="AW109">
            <v>97.02601280552534</v>
          </cell>
        </row>
        <row r="110">
          <cell r="S110">
            <v>9.6133333333333333</v>
          </cell>
          <cell r="AI110">
            <v>5.8957341822448974</v>
          </cell>
          <cell r="AO110">
            <v>1.1181904673285017</v>
          </cell>
          <cell r="AP110">
            <v>1.2501645412761302</v>
          </cell>
          <cell r="AW110">
            <v>97.01712296185238</v>
          </cell>
        </row>
        <row r="111">
          <cell r="S111">
            <v>9.706666666666667</v>
          </cell>
          <cell r="AI111">
            <v>5.9583990666840556</v>
          </cell>
          <cell r="AO111">
            <v>1.1255712673285017</v>
          </cell>
          <cell r="AP111">
            <v>1.2745077412761305</v>
          </cell>
          <cell r="AW111">
            <v>97.008170393714295</v>
          </cell>
        </row>
        <row r="112">
          <cell r="S112">
            <v>9.8000000000000007</v>
          </cell>
          <cell r="AI112">
            <v>6.0211684844565481</v>
          </cell>
          <cell r="AO112">
            <v>1.1330043339951683</v>
          </cell>
          <cell r="AP112">
            <v>1.2990861412761303</v>
          </cell>
          <cell r="AW112">
            <v>96.999156974613214</v>
          </cell>
        </row>
        <row r="113">
          <cell r="S113">
            <v>9.8933333333333344</v>
          </cell>
          <cell r="AI113">
            <v>6.084042435562373</v>
          </cell>
          <cell r="AO113">
            <v>1.1404896673285019</v>
          </cell>
          <cell r="AP113">
            <v>1.3238997412761304</v>
          </cell>
          <cell r="AW113">
            <v>96.990084507554101</v>
          </cell>
        </row>
        <row r="114">
          <cell r="S114">
            <v>9.9866666666666664</v>
          </cell>
          <cell r="AI114">
            <v>6.1470209200015296</v>
          </cell>
          <cell r="AO114">
            <v>1.1480272673285017</v>
          </cell>
          <cell r="AP114">
            <v>1.3489485412761304</v>
          </cell>
          <cell r="AW114">
            <v>96.980954728327688</v>
          </cell>
        </row>
        <row r="115">
          <cell r="S115">
            <v>10.08</v>
          </cell>
          <cell r="AI115">
            <v>6.2101039377740221</v>
          </cell>
          <cell r="AO115">
            <v>1.1556171339951684</v>
          </cell>
          <cell r="AP115">
            <v>1.3742325412761303</v>
          </cell>
          <cell r="AW115">
            <v>96.971769308611755</v>
          </cell>
        </row>
        <row r="116">
          <cell r="S116">
            <v>10.173333333333334</v>
          </cell>
          <cell r="AI116">
            <v>6.2732914888798472</v>
          </cell>
          <cell r="AO116">
            <v>1.1632592673285016</v>
          </cell>
          <cell r="AP116">
            <v>1.3997517412761304</v>
          </cell>
          <cell r="AW116">
            <v>96.962529858902172</v>
          </cell>
        </row>
        <row r="117">
          <cell r="S117">
            <v>10.266666666666667</v>
          </cell>
          <cell r="AI117">
            <v>6.3365835733190048</v>
          </cell>
          <cell r="AO117">
            <v>1.1709536673285019</v>
          </cell>
          <cell r="AP117">
            <v>1.4255061412761303</v>
          </cell>
          <cell r="AW117">
            <v>96.953237931284619</v>
          </cell>
        </row>
        <row r="118">
          <cell r="S118">
            <v>10.360000000000001</v>
          </cell>
          <cell r="AI118">
            <v>6.3999801910914957</v>
          </cell>
          <cell r="AO118">
            <v>1.1787003339951685</v>
          </cell>
          <cell r="AP118">
            <v>1.4514957412761309</v>
          </cell>
          <cell r="AW118">
            <v>96.943895022057049</v>
          </cell>
        </row>
        <row r="119">
          <cell r="S119">
            <v>10.453333333333333</v>
          </cell>
          <cell r="AI119">
            <v>6.4634813421973201</v>
          </cell>
          <cell r="AO119">
            <v>1.1864992673285015</v>
          </cell>
          <cell r="AP119">
            <v>1.4777205412761296</v>
          </cell>
          <cell r="AW119">
            <v>96.934502574212033</v>
          </cell>
        </row>
        <row r="120">
          <cell r="S120">
            <v>10.546666666666667</v>
          </cell>
          <cell r="AI120">
            <v>6.5270870266364778</v>
          </cell>
          <cell r="AO120">
            <v>1.1943504673285019</v>
          </cell>
          <cell r="AP120">
            <v>1.5041805412761304</v>
          </cell>
          <cell r="AW120">
            <v>96.925061979787714</v>
          </cell>
        </row>
        <row r="121">
          <cell r="S121">
            <v>10.64</v>
          </cell>
          <cell r="AI121">
            <v>6.5907972444089697</v>
          </cell>
          <cell r="AO121">
            <v>1.2022539339951683</v>
          </cell>
          <cell r="AP121">
            <v>1.5308757412761302</v>
          </cell>
          <cell r="AW121">
            <v>96.91557458209563</v>
          </cell>
        </row>
        <row r="122">
          <cell r="S122">
            <v>10.733333333333334</v>
          </cell>
          <cell r="AI122">
            <v>6.6546119955147951</v>
          </cell>
          <cell r="AO122">
            <v>1.2102096673285019</v>
          </cell>
          <cell r="AP122">
            <v>1.5578061412761306</v>
          </cell>
          <cell r="AW122">
            <v>96.90604167783232</v>
          </cell>
        </row>
        <row r="123">
          <cell r="S123">
            <v>10.826666666666668</v>
          </cell>
          <cell r="AI123">
            <v>6.7185312799539529</v>
          </cell>
          <cell r="AO123">
            <v>1.2182176673285019</v>
          </cell>
          <cell r="AP123">
            <v>1.5849717412761304</v>
          </cell>
          <cell r="AW123">
            <v>96.896464519082414</v>
          </cell>
        </row>
        <row r="124">
          <cell r="S124">
            <v>10.92</v>
          </cell>
          <cell r="AI124">
            <v>6.7825550977264433</v>
          </cell>
          <cell r="AO124">
            <v>1.2262779339951684</v>
          </cell>
          <cell r="AP124">
            <v>1.6123725412761301</v>
          </cell>
          <cell r="AW124">
            <v>96.886844315219065</v>
          </cell>
        </row>
        <row r="125">
          <cell r="S125">
            <v>11.013333333333334</v>
          </cell>
          <cell r="AI125">
            <v>6.8466834488322688</v>
          </cell>
          <cell r="AO125">
            <v>1.2343904673285018</v>
          </cell>
          <cell r="AP125">
            <v>1.6400085412761298</v>
          </cell>
          <cell r="AW125">
            <v>96.877182234708187</v>
          </cell>
        </row>
        <row r="126">
          <cell r="S126">
            <v>11.106666666666667</v>
          </cell>
          <cell r="AI126">
            <v>6.9109163332714267</v>
          </cell>
          <cell r="AO126">
            <v>1.2425552673285019</v>
          </cell>
          <cell r="AP126">
            <v>1.6678797412761301</v>
          </cell>
          <cell r="AW126">
            <v>96.867479406821971</v>
          </cell>
        </row>
        <row r="127">
          <cell r="S127">
            <v>11.200000000000001</v>
          </cell>
          <cell r="AI127">
            <v>6.975253751043919</v>
          </cell>
          <cell r="AO127">
            <v>1.2507723339951684</v>
          </cell>
          <cell r="AP127">
            <v>1.6959861412761297</v>
          </cell>
          <cell r="AW127">
            <v>96.857736923266984</v>
          </cell>
        </row>
        <row r="128">
          <cell r="S128">
            <v>11.293333333333333</v>
          </cell>
          <cell r="AI128">
            <v>7.0396957021497428</v>
          </cell>
          <cell r="AO128">
            <v>1.2590416673285016</v>
          </cell>
          <cell r="AP128">
            <v>1.7243277412761302</v>
          </cell>
          <cell r="AW128">
            <v>96.847955839731725</v>
          </cell>
        </row>
        <row r="129">
          <cell r="S129">
            <v>11.386666666666667</v>
          </cell>
          <cell r="AI129">
            <v>7.1042421865889018</v>
          </cell>
          <cell r="AO129">
            <v>1.2673632673285018</v>
          </cell>
          <cell r="AP129">
            <v>1.7529045412761304</v>
          </cell>
          <cell r="AW129">
            <v>96.838137177358405</v>
          </cell>
        </row>
        <row r="130">
          <cell r="S130">
            <v>11.48</v>
          </cell>
          <cell r="AI130">
            <v>7.1688932043613933</v>
          </cell>
          <cell r="AO130">
            <v>1.2757371339951682</v>
          </cell>
          <cell r="AP130">
            <v>1.7817165412761307</v>
          </cell>
          <cell r="AW130">
            <v>96.828281924143127</v>
          </cell>
        </row>
        <row r="131">
          <cell r="S131">
            <v>11.573333333333334</v>
          </cell>
          <cell r="AI131">
            <v>7.2336487554672191</v>
          </cell>
          <cell r="AO131">
            <v>1.2841632673285017</v>
          </cell>
          <cell r="AP131">
            <v>1.8107637412761304</v>
          </cell>
          <cell r="AW131">
            <v>96.818391036268366</v>
          </cell>
        </row>
        <row r="132">
          <cell r="S132">
            <v>11.666666666666668</v>
          </cell>
          <cell r="AI132">
            <v>7.2985088399063773</v>
          </cell>
          <cell r="AO132">
            <v>1.2926416673285019</v>
          </cell>
          <cell r="AP132">
            <v>1.8400461412761306</v>
          </cell>
          <cell r="AW132">
            <v>96.808465439371929</v>
          </cell>
        </row>
        <row r="133">
          <cell r="S133">
            <v>11.76</v>
          </cell>
          <cell r="AI133">
            <v>7.3634734576788672</v>
          </cell>
          <cell r="AO133">
            <v>1.3011723339951682</v>
          </cell>
          <cell r="AP133">
            <v>1.8695637412761303</v>
          </cell>
          <cell r="AW133">
            <v>96.798506029755458</v>
          </cell>
        </row>
        <row r="134">
          <cell r="S134">
            <v>11.853333333333333</v>
          </cell>
          <cell r="AI134">
            <v>7.4285426087846922</v>
          </cell>
          <cell r="AO134">
            <v>1.3097552673285018</v>
          </cell>
          <cell r="AP134">
            <v>1.8993165412761301</v>
          </cell>
          <cell r="AW134">
            <v>96.78851367553608</v>
          </cell>
        </row>
        <row r="135">
          <cell r="S135">
            <v>11.946666666666667</v>
          </cell>
          <cell r="AI135">
            <v>7.4937162932238506</v>
          </cell>
          <cell r="AO135">
            <v>1.3183904673285016</v>
          </cell>
          <cell r="AP135">
            <v>1.92930454127613</v>
          </cell>
          <cell r="AW135">
            <v>96.778489217744266</v>
          </cell>
        </row>
        <row r="136">
          <cell r="S136">
            <v>12.040000000000001</v>
          </cell>
          <cell r="AI136">
            <v>7.5589945109963432</v>
          </cell>
          <cell r="AO136">
            <v>1.3270779339951686</v>
          </cell>
          <cell r="AP136">
            <v>1.9595277412761303</v>
          </cell>
          <cell r="AW136">
            <v>96.768433471370713</v>
          </cell>
        </row>
        <row r="137">
          <cell r="S137">
            <v>12.133333333333335</v>
          </cell>
          <cell r="AI137">
            <v>7.6243772621021675</v>
          </cell>
          <cell r="AO137">
            <v>1.3358176673285018</v>
          </cell>
          <cell r="AP137">
            <v>1.9899861412761308</v>
          </cell>
          <cell r="AW137">
            <v>96.758347226365046</v>
          </cell>
        </row>
        <row r="138">
          <cell r="S138">
            <v>12.226666666666667</v>
          </cell>
          <cell r="AI138">
            <v>7.6898645465413242</v>
          </cell>
          <cell r="AO138">
            <v>1.3446096673285015</v>
          </cell>
          <cell r="AP138">
            <v>2.0206797412761301</v>
          </cell>
          <cell r="AW138">
            <v>96.748231248588937</v>
          </cell>
        </row>
        <row r="139">
          <cell r="S139">
            <v>12.32</v>
          </cell>
          <cell r="AI139">
            <v>7.7554563643138161</v>
          </cell>
          <cell r="AO139">
            <v>1.3534539339951683</v>
          </cell>
          <cell r="AP139">
            <v>2.0516085412761305</v>
          </cell>
          <cell r="AW139">
            <v>96.738086280726023</v>
          </cell>
        </row>
        <row r="140">
          <cell r="S140">
            <v>12.413333333333334</v>
          </cell>
          <cell r="AI140">
            <v>7.8211527154196414</v>
          </cell>
          <cell r="AO140">
            <v>1.3623504673285018</v>
          </cell>
          <cell r="AP140">
            <v>2.08277254127613</v>
          </cell>
          <cell r="AW140">
            <v>96.727913043150849</v>
          </cell>
        </row>
        <row r="141">
          <cell r="S141">
            <v>12.506666666666668</v>
          </cell>
          <cell r="AI141">
            <v>7.8869535998587992</v>
          </cell>
          <cell r="AO141">
            <v>1.3712992673285016</v>
          </cell>
          <cell r="AP141">
            <v>2.1141717412761301</v>
          </cell>
          <cell r="AW141">
            <v>96.717712234759063</v>
          </cell>
        </row>
        <row r="142">
          <cell r="S142">
            <v>12.600000000000001</v>
          </cell>
          <cell r="AI142">
            <v>7.9528590176312912</v>
          </cell>
          <cell r="AO142">
            <v>1.3803003339951685</v>
          </cell>
          <cell r="AP142">
            <v>2.1458061412761307</v>
          </cell>
          <cell r="AW142">
            <v>96.707484533760763</v>
          </cell>
        </row>
        <row r="143">
          <cell r="S143">
            <v>12.693333333333333</v>
          </cell>
          <cell r="AI143">
            <v>8.0188689687371149</v>
          </cell>
          <cell r="AO143">
            <v>1.3893536673285016</v>
          </cell>
          <cell r="AP143">
            <v>2.1776757412761296</v>
          </cell>
          <cell r="AW143">
            <v>96.697230598438992</v>
          </cell>
        </row>
        <row r="144">
          <cell r="S144">
            <v>12.786666666666667</v>
          </cell>
          <cell r="AI144">
            <v>8.0849834531762728</v>
          </cell>
          <cell r="AO144">
            <v>1.3984592673285019</v>
          </cell>
          <cell r="AP144">
            <v>2.20978054127613</v>
          </cell>
          <cell r="AW144">
            <v>96.686951067875043</v>
          </cell>
        </row>
        <row r="145">
          <cell r="S145">
            <v>12.88</v>
          </cell>
          <cell r="AI145">
            <v>8.151202470948764</v>
          </cell>
          <cell r="AO145">
            <v>1.4076171339951684</v>
          </cell>
          <cell r="AP145">
            <v>2.2421205412761296</v>
          </cell>
          <cell r="AW145">
            <v>96.676646562642304</v>
          </cell>
        </row>
        <row r="146">
          <cell r="S146">
            <v>12.973333333333334</v>
          </cell>
          <cell r="AI146">
            <v>8.2175260220545887</v>
          </cell>
          <cell r="AO146">
            <v>1.4168272673285018</v>
          </cell>
          <cell r="AP146">
            <v>2.2746957412761306</v>
          </cell>
          <cell r="AW146">
            <v>96.666317685470432</v>
          </cell>
        </row>
        <row r="147">
          <cell r="S147">
            <v>13.066666666666666</v>
          </cell>
          <cell r="AI147">
            <v>8.283954106493745</v>
          </cell>
          <cell r="AO147">
            <v>1.4260896673285015</v>
          </cell>
          <cell r="AP147">
            <v>2.3075061412761295</v>
          </cell>
          <cell r="AW147">
            <v>96.655965021880732</v>
          </cell>
        </row>
        <row r="148">
          <cell r="S148">
            <v>13.16</v>
          </cell>
          <cell r="AI148">
            <v>8.3504867242662382</v>
          </cell>
          <cell r="AO148">
            <v>1.4354043339951685</v>
          </cell>
          <cell r="AP148">
            <v>2.3405517412761307</v>
          </cell>
          <cell r="AW148">
            <v>96.645589140794996</v>
          </cell>
        </row>
        <row r="149">
          <cell r="S149">
            <v>13.253333333333334</v>
          </cell>
          <cell r="AI149">
            <v>8.4171238753720612</v>
          </cell>
          <cell r="AO149">
            <v>1.4447712673285016</v>
          </cell>
          <cell r="AP149">
            <v>2.3738325412761303</v>
          </cell>
          <cell r="AW149">
            <v>96.635190595118459</v>
          </cell>
        </row>
        <row r="150">
          <cell r="S150">
            <v>13.346666666666668</v>
          </cell>
          <cell r="AI150">
            <v>8.4838655598112229</v>
          </cell>
          <cell r="AO150">
            <v>1.454190467328502</v>
          </cell>
          <cell r="AP150">
            <v>2.4073485412761304</v>
          </cell>
          <cell r="AW150">
            <v>96.624769922298384</v>
          </cell>
        </row>
        <row r="151">
          <cell r="S151">
            <v>13.440000000000001</v>
          </cell>
          <cell r="AI151">
            <v>8.5507117775837127</v>
          </cell>
          <cell r="AO151">
            <v>1.4636619339951684</v>
          </cell>
          <cell r="AP151">
            <v>2.4410997412761302</v>
          </cell>
          <cell r="AW151">
            <v>96.614327644859429</v>
          </cell>
        </row>
        <row r="152">
          <cell r="S152">
            <v>13.533333333333333</v>
          </cell>
          <cell r="AI152">
            <v>8.6176625286895376</v>
          </cell>
          <cell r="AO152">
            <v>1.4731856673285018</v>
          </cell>
          <cell r="AP152">
            <v>2.4750861412761305</v>
          </cell>
          <cell r="AW152">
            <v>96.603864270916958</v>
          </cell>
        </row>
        <row r="153">
          <cell r="S153">
            <v>13.626666666666667</v>
          </cell>
          <cell r="AI153">
            <v>8.684717813128696</v>
          </cell>
          <cell r="AO153">
            <v>1.4827616673285018</v>
          </cell>
          <cell r="AP153">
            <v>2.50930774127613</v>
          </cell>
          <cell r="AW153">
            <v>96.593380294669288</v>
          </cell>
        </row>
        <row r="154">
          <cell r="S154">
            <v>13.72</v>
          </cell>
          <cell r="AI154">
            <v>8.7518776309011876</v>
          </cell>
          <cell r="AO154">
            <v>1.4923899339951685</v>
          </cell>
          <cell r="AP154">
            <v>2.5437645412761301</v>
          </cell>
          <cell r="AW154">
            <v>96.582876196869904</v>
          </cell>
        </row>
        <row r="155">
          <cell r="S155">
            <v>13.813333333333334</v>
          </cell>
          <cell r="AI155">
            <v>8.8191419820070127</v>
          </cell>
          <cell r="AO155">
            <v>1.5020704673285015</v>
          </cell>
          <cell r="AP155">
            <v>2.5784565412761302</v>
          </cell>
          <cell r="AW155">
            <v>96.572352445280515</v>
          </cell>
        </row>
        <row r="156">
          <cell r="S156">
            <v>13.906666666666668</v>
          </cell>
          <cell r="AI156">
            <v>8.8865108664461712</v>
          </cell>
          <cell r="AO156">
            <v>1.5118032673285018</v>
          </cell>
          <cell r="AP156">
            <v>2.6133837412761314</v>
          </cell>
          <cell r="AW156">
            <v>96.561809495106033</v>
          </cell>
        </row>
        <row r="157">
          <cell r="S157">
            <v>14</v>
          </cell>
          <cell r="AI157">
            <v>8.9539842842186612</v>
          </cell>
          <cell r="AO157">
            <v>1.5215883339951684</v>
          </cell>
          <cell r="AP157">
            <v>2.6485461412761295</v>
          </cell>
          <cell r="AW157">
            <v>96.551247789412059</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drawing" Target="../drawings/drawing1.xml"/><Relationship Id="rId7" Type="http://schemas.openxmlformats.org/officeDocument/2006/relationships/ctrlProp" Target="../ctrlProps/ctrlProp1.xml"/><Relationship Id="rId2" Type="http://schemas.openxmlformats.org/officeDocument/2006/relationships/printerSettings" Target="../printerSettings/printerSettings1.bin"/><Relationship Id="rId1" Type="http://schemas.openxmlformats.org/officeDocument/2006/relationships/hyperlink" Target="http://www.ti.com/product/lm5122" TargetMode="External"/><Relationship Id="rId6" Type="http://schemas.openxmlformats.org/officeDocument/2006/relationships/image" Target="../media/image1.emf"/><Relationship Id="rId5" Type="http://schemas.openxmlformats.org/officeDocument/2006/relationships/package" Target="../embeddings/Microsoft_Visio_Drawing.vsdx"/><Relationship Id="rId4" Type="http://schemas.openxmlformats.org/officeDocument/2006/relationships/vmlDrawing" Target="../drawings/vmlDrawing1.v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115"/>
  <sheetViews>
    <sheetView tabSelected="1" topLeftCell="A46" zoomScaleNormal="100" workbookViewId="0">
      <selection activeCell="I72" sqref="I72"/>
    </sheetView>
  </sheetViews>
  <sheetFormatPr baseColWidth="10" defaultColWidth="9.140625" defaultRowHeight="15" x14ac:dyDescent="0.25"/>
  <cols>
    <col min="1" max="7" width="9.140625" style="188"/>
    <col min="8" max="8" width="9.140625" style="189"/>
    <col min="9" max="23" width="9.140625" style="188"/>
    <col min="24" max="24" width="8.85546875" style="188" customWidth="1"/>
    <col min="25" max="25" width="3.28515625" style="188" customWidth="1"/>
    <col min="26" max="27" width="9.140625" style="188"/>
    <col min="28" max="28" width="2.140625" style="188" customWidth="1"/>
    <col min="29" max="16384" width="9.140625" style="188"/>
  </cols>
  <sheetData>
    <row r="1" spans="1:28" ht="36" x14ac:dyDescent="0.25">
      <c r="A1" s="182"/>
      <c r="B1" s="183"/>
      <c r="C1" s="183"/>
      <c r="D1" s="185"/>
      <c r="E1" s="185" t="s">
        <v>178</v>
      </c>
      <c r="F1" s="183"/>
      <c r="G1" s="183"/>
      <c r="H1" s="183"/>
      <c r="I1" s="183"/>
      <c r="J1" s="183"/>
      <c r="K1" s="183"/>
      <c r="L1" s="183"/>
      <c r="M1" s="183"/>
      <c r="N1" s="183"/>
      <c r="O1" s="183"/>
      <c r="P1" s="183"/>
      <c r="Q1" s="183"/>
      <c r="R1" s="184"/>
      <c r="S1" s="184"/>
      <c r="T1" s="184"/>
      <c r="U1" s="184"/>
      <c r="V1" s="184"/>
      <c r="W1" s="184"/>
      <c r="X1" s="184"/>
      <c r="Y1" s="184"/>
      <c r="Z1" s="184"/>
      <c r="AA1" s="184"/>
      <c r="AB1" s="186"/>
    </row>
    <row r="2" spans="1:28" x14ac:dyDescent="0.25">
      <c r="A2" s="3"/>
      <c r="B2" s="4"/>
      <c r="C2" s="4"/>
      <c r="D2" s="4"/>
      <c r="E2" s="4"/>
      <c r="F2" s="4"/>
      <c r="G2" s="5"/>
      <c r="H2" s="30"/>
      <c r="I2" s="6"/>
      <c r="J2" s="4"/>
      <c r="K2" s="4"/>
      <c r="L2" s="4"/>
      <c r="M2" s="4"/>
      <c r="N2" s="4"/>
      <c r="O2" s="4"/>
      <c r="P2" s="4"/>
      <c r="Q2" s="4"/>
      <c r="R2" s="186"/>
      <c r="S2" s="186"/>
      <c r="T2" s="186"/>
      <c r="U2" s="186"/>
      <c r="V2" s="186"/>
      <c r="W2" s="186"/>
      <c r="X2" s="186"/>
      <c r="Y2" s="186"/>
      <c r="Z2" s="186"/>
      <c r="AA2" s="186"/>
      <c r="AB2" s="186"/>
    </row>
    <row r="3" spans="1:28" ht="15.75" x14ac:dyDescent="0.25">
      <c r="A3" s="7" t="s">
        <v>175</v>
      </c>
      <c r="B3" s="4"/>
      <c r="C3" s="4"/>
      <c r="D3" s="8"/>
      <c r="E3" s="9"/>
      <c r="F3" s="10" t="s">
        <v>176</v>
      </c>
      <c r="G3" s="5"/>
      <c r="H3" s="30"/>
      <c r="I3" s="6"/>
      <c r="J3" s="235" t="s">
        <v>717</v>
      </c>
      <c r="K3" s="235"/>
      <c r="L3" s="235"/>
      <c r="M3" s="235"/>
      <c r="N3" s="4"/>
      <c r="O3" s="230" t="s">
        <v>177</v>
      </c>
      <c r="P3" s="230"/>
      <c r="Q3" s="4"/>
      <c r="R3" s="186"/>
      <c r="S3" s="186"/>
      <c r="T3" s="186"/>
      <c r="U3" s="186"/>
      <c r="V3" s="186"/>
      <c r="W3" s="186"/>
      <c r="X3" s="186"/>
      <c r="Y3" s="186"/>
      <c r="Z3" s="186"/>
      <c r="AA3" s="186"/>
      <c r="AB3" s="186"/>
    </row>
    <row r="4" spans="1:28" ht="15.75" thickBot="1" x14ac:dyDescent="0.3">
      <c r="A4" s="11"/>
      <c r="B4" s="12"/>
      <c r="C4" s="12"/>
      <c r="D4" s="12"/>
      <c r="E4" s="12"/>
      <c r="F4" s="12"/>
      <c r="G4" s="13"/>
      <c r="H4" s="31"/>
      <c r="I4" s="14"/>
      <c r="J4" s="12"/>
      <c r="K4" s="12"/>
      <c r="L4" s="12"/>
      <c r="M4" s="12"/>
      <c r="N4" s="12"/>
      <c r="O4" s="12"/>
      <c r="P4" s="12"/>
      <c r="Q4" s="12"/>
      <c r="R4" s="223"/>
      <c r="S4" s="223"/>
      <c r="T4" s="223"/>
      <c r="U4" s="223"/>
      <c r="V4" s="223"/>
      <c r="W4" s="223"/>
      <c r="X4" s="223"/>
      <c r="Y4" s="223"/>
      <c r="Z4" s="223"/>
      <c r="AA4" s="223"/>
      <c r="AB4" s="186"/>
    </row>
    <row r="5" spans="1:28" x14ac:dyDescent="0.25">
      <c r="A5" s="158"/>
      <c r="B5" s="158"/>
      <c r="C5" s="158"/>
      <c r="D5" s="158"/>
      <c r="E5" s="158"/>
      <c r="F5" s="158"/>
      <c r="G5" s="158"/>
      <c r="H5" s="159"/>
      <c r="I5" s="158"/>
      <c r="J5" s="158"/>
      <c r="K5" s="158"/>
      <c r="L5" s="158"/>
      <c r="M5" s="158"/>
      <c r="N5" s="158"/>
      <c r="O5" s="158"/>
      <c r="P5" s="158"/>
      <c r="Q5" s="158"/>
      <c r="R5" s="158"/>
      <c r="S5" s="158"/>
      <c r="T5" s="158"/>
      <c r="U5" s="158"/>
      <c r="V5" s="158"/>
      <c r="W5" s="158"/>
      <c r="X5" s="158"/>
      <c r="Y5" s="158"/>
      <c r="Z5" s="158"/>
      <c r="AA5" s="158"/>
      <c r="AB5" s="186"/>
    </row>
    <row r="6" spans="1:28" ht="21.75" thickBot="1" x14ac:dyDescent="0.4">
      <c r="A6" s="177" t="s">
        <v>348</v>
      </c>
      <c r="B6" s="158"/>
      <c r="C6" s="158"/>
      <c r="D6" s="158"/>
      <c r="E6" s="158"/>
      <c r="F6" s="158"/>
      <c r="G6" s="158"/>
      <c r="H6" s="159"/>
      <c r="I6" s="158"/>
      <c r="J6" s="158"/>
      <c r="K6" s="158"/>
      <c r="L6" s="158"/>
      <c r="M6" s="158"/>
      <c r="N6" s="158"/>
      <c r="O6" s="158"/>
      <c r="P6" s="158"/>
      <c r="Q6" s="158"/>
      <c r="R6" s="158"/>
      <c r="S6" s="158"/>
      <c r="T6" s="158"/>
      <c r="U6" s="158"/>
      <c r="V6" s="158"/>
      <c r="W6" s="158"/>
      <c r="X6" s="158"/>
      <c r="Y6" s="158"/>
      <c r="Z6" s="158"/>
      <c r="AA6" s="158"/>
      <c r="AB6" s="186"/>
    </row>
    <row r="7" spans="1:28" ht="18" x14ac:dyDescent="0.35">
      <c r="A7" s="153"/>
      <c r="B7" s="154"/>
      <c r="C7" s="154"/>
      <c r="D7" s="154"/>
      <c r="E7" s="154"/>
      <c r="F7" s="154"/>
      <c r="G7" s="154"/>
      <c r="H7" s="155" t="s">
        <v>181</v>
      </c>
      <c r="I7" s="210">
        <v>11.5</v>
      </c>
      <c r="J7" s="156" t="s">
        <v>34</v>
      </c>
      <c r="K7" s="158"/>
      <c r="L7" s="158"/>
      <c r="M7" s="158"/>
      <c r="N7" s="158"/>
      <c r="O7" s="158"/>
      <c r="P7" s="158"/>
      <c r="Q7" s="158"/>
      <c r="R7" s="158"/>
      <c r="S7" s="158"/>
      <c r="T7" s="158"/>
      <c r="U7" s="158"/>
      <c r="V7" s="158"/>
      <c r="W7" s="158"/>
      <c r="X7" s="158"/>
      <c r="Y7" s="158"/>
      <c r="Z7" s="158"/>
      <c r="AA7" s="158"/>
      <c r="AB7" s="186"/>
    </row>
    <row r="8" spans="1:28" ht="18" x14ac:dyDescent="0.35">
      <c r="A8" s="157"/>
      <c r="B8" s="158"/>
      <c r="C8" s="158"/>
      <c r="D8" s="158"/>
      <c r="E8" s="158"/>
      <c r="F8" s="158"/>
      <c r="G8" s="158"/>
      <c r="H8" s="159" t="s">
        <v>708</v>
      </c>
      <c r="I8" s="211">
        <v>12</v>
      </c>
      <c r="J8" s="160" t="s">
        <v>34</v>
      </c>
      <c r="K8" s="158"/>
      <c r="L8" s="158"/>
      <c r="M8" s="158"/>
      <c r="N8" s="158"/>
      <c r="O8" s="158"/>
      <c r="P8" s="158"/>
      <c r="Q8" s="158"/>
      <c r="R8" s="158"/>
      <c r="S8" s="158"/>
      <c r="T8" s="158"/>
      <c r="U8" s="158"/>
      <c r="V8" s="158"/>
      <c r="W8" s="158"/>
      <c r="X8" s="158"/>
      <c r="Y8" s="158"/>
      <c r="Z8" s="158"/>
      <c r="AA8" s="158"/>
      <c r="AB8" s="186"/>
    </row>
    <row r="9" spans="1:28" ht="18" x14ac:dyDescent="0.35">
      <c r="A9" s="157"/>
      <c r="B9" s="158"/>
      <c r="C9" s="158"/>
      <c r="D9" s="158"/>
      <c r="E9" s="158"/>
      <c r="F9" s="158"/>
      <c r="G9" s="158"/>
      <c r="H9" s="159" t="s">
        <v>179</v>
      </c>
      <c r="I9" s="211">
        <v>12.5</v>
      </c>
      <c r="J9" s="160" t="s">
        <v>34</v>
      </c>
      <c r="K9" s="158"/>
      <c r="L9" s="158"/>
      <c r="M9" s="158"/>
      <c r="N9" s="158"/>
      <c r="O9" s="158"/>
      <c r="P9" s="158"/>
      <c r="Q9" s="158"/>
      <c r="R9" s="158"/>
      <c r="S9" s="158"/>
      <c r="T9" s="158"/>
      <c r="U9" s="158"/>
      <c r="V9" s="158"/>
      <c r="W9" s="158"/>
      <c r="X9" s="158"/>
      <c r="Y9" s="158"/>
      <c r="Z9" s="158"/>
      <c r="AA9" s="158"/>
      <c r="AB9" s="186"/>
    </row>
    <row r="10" spans="1:28" ht="18" x14ac:dyDescent="0.35">
      <c r="A10" s="157"/>
      <c r="B10" s="158"/>
      <c r="C10" s="158"/>
      <c r="D10" s="158"/>
      <c r="E10" s="158"/>
      <c r="F10" s="158"/>
      <c r="G10" s="158"/>
      <c r="H10" s="159" t="s">
        <v>182</v>
      </c>
      <c r="I10" s="211">
        <v>18</v>
      </c>
      <c r="J10" s="160" t="s">
        <v>34</v>
      </c>
      <c r="K10" s="158"/>
      <c r="L10" s="158"/>
      <c r="M10" s="158"/>
      <c r="N10" s="158"/>
      <c r="O10" s="158"/>
      <c r="P10" s="158"/>
      <c r="Q10" s="158"/>
      <c r="R10" s="158"/>
      <c r="S10" s="158"/>
      <c r="T10" s="158"/>
      <c r="U10" s="158"/>
      <c r="V10" s="158"/>
      <c r="W10" s="158"/>
      <c r="X10" s="158"/>
      <c r="Y10" s="158"/>
      <c r="Z10" s="158"/>
      <c r="AA10" s="158"/>
      <c r="AB10" s="186"/>
    </row>
    <row r="11" spans="1:28" ht="18" x14ac:dyDescent="0.35">
      <c r="A11" s="157"/>
      <c r="B11" s="158"/>
      <c r="C11" s="158"/>
      <c r="D11" s="158"/>
      <c r="E11" s="158"/>
      <c r="F11" s="158"/>
      <c r="G11" s="158"/>
      <c r="H11" s="159" t="s">
        <v>186</v>
      </c>
      <c r="I11" s="211">
        <v>5</v>
      </c>
      <c r="J11" s="160" t="s">
        <v>33</v>
      </c>
      <c r="K11" s="158"/>
      <c r="L11" s="158"/>
      <c r="M11" s="158"/>
      <c r="N11" s="158"/>
      <c r="O11" s="231"/>
      <c r="P11" s="231"/>
      <c r="Q11" s="231"/>
      <c r="R11" s="158"/>
      <c r="S11" s="158"/>
      <c r="T11" s="158"/>
      <c r="U11" s="158"/>
      <c r="V11" s="158"/>
      <c r="W11" s="158"/>
      <c r="X11" s="158"/>
      <c r="Y11" s="158"/>
      <c r="Z11" s="158"/>
      <c r="AA11" s="158"/>
      <c r="AB11" s="186"/>
    </row>
    <row r="12" spans="1:28" ht="18" x14ac:dyDescent="0.35">
      <c r="A12" s="157"/>
      <c r="B12" s="158"/>
      <c r="C12" s="158"/>
      <c r="D12" s="158"/>
      <c r="E12" s="158"/>
      <c r="F12" s="158"/>
      <c r="G12" s="158"/>
      <c r="H12" s="159" t="s">
        <v>183</v>
      </c>
      <c r="I12" s="211">
        <v>1</v>
      </c>
      <c r="J12" s="160"/>
      <c r="K12" s="158"/>
      <c r="L12" s="158"/>
      <c r="M12" s="158"/>
      <c r="N12" s="158"/>
      <c r="O12" s="231"/>
      <c r="P12" s="231"/>
      <c r="Q12" s="231"/>
      <c r="R12" s="158"/>
      <c r="S12" s="158"/>
      <c r="T12" s="158"/>
      <c r="U12" s="158"/>
      <c r="V12" s="158"/>
      <c r="W12" s="158"/>
      <c r="X12" s="158"/>
      <c r="Y12" s="158"/>
      <c r="Z12" s="158"/>
      <c r="AA12" s="158"/>
      <c r="AB12" s="186"/>
    </row>
    <row r="13" spans="1:28" x14ac:dyDescent="0.25">
      <c r="A13" s="157"/>
      <c r="B13" s="158"/>
      <c r="C13" s="158"/>
      <c r="D13" s="158"/>
      <c r="E13" s="158"/>
      <c r="F13" s="158"/>
      <c r="G13" s="158"/>
      <c r="H13" s="159" t="s">
        <v>559</v>
      </c>
      <c r="I13" s="150" t="s">
        <v>567</v>
      </c>
      <c r="J13" s="160"/>
      <c r="K13" s="158"/>
      <c r="L13" s="158"/>
      <c r="M13" s="158"/>
      <c r="N13" s="158"/>
      <c r="O13" s="181"/>
      <c r="P13" s="181"/>
      <c r="Q13" s="181"/>
      <c r="R13" s="158"/>
      <c r="S13" s="158"/>
      <c r="T13" s="158"/>
      <c r="U13" s="158"/>
      <c r="V13" s="158"/>
      <c r="W13" s="158"/>
      <c r="X13" s="158"/>
      <c r="Y13" s="158"/>
      <c r="Z13" s="158"/>
      <c r="AA13" s="158"/>
      <c r="AB13" s="186"/>
    </row>
    <row r="14" spans="1:28" x14ac:dyDescent="0.25">
      <c r="A14" s="157"/>
      <c r="B14" s="158"/>
      <c r="C14" s="158"/>
      <c r="D14" s="158"/>
      <c r="E14" s="158"/>
      <c r="F14" s="158"/>
      <c r="G14" s="158"/>
      <c r="H14" s="104" t="s">
        <v>560</v>
      </c>
      <c r="I14" s="192">
        <f>I10*I15</f>
        <v>90</v>
      </c>
      <c r="J14" s="160" t="s">
        <v>563</v>
      </c>
      <c r="K14" s="158"/>
      <c r="L14" s="158"/>
      <c r="M14" s="158"/>
      <c r="N14" s="158"/>
      <c r="O14" s="181"/>
      <c r="P14" s="181"/>
      <c r="Q14" s="181"/>
      <c r="R14" s="158"/>
      <c r="S14" s="158"/>
      <c r="T14" s="158"/>
      <c r="U14" s="158"/>
      <c r="V14" s="158"/>
      <c r="W14" s="158"/>
      <c r="X14" s="158"/>
      <c r="Y14" s="158"/>
      <c r="Z14" s="158"/>
      <c r="AA14" s="158"/>
      <c r="AB14" s="186"/>
    </row>
    <row r="15" spans="1:28" ht="18" x14ac:dyDescent="0.35">
      <c r="A15" s="157"/>
      <c r="B15" s="158"/>
      <c r="C15" s="158"/>
      <c r="D15" s="158"/>
      <c r="E15" s="158"/>
      <c r="F15" s="158"/>
      <c r="G15" s="158"/>
      <c r="H15" s="159" t="s">
        <v>187</v>
      </c>
      <c r="I15" s="192">
        <f>Calculations!B12</f>
        <v>5</v>
      </c>
      <c r="J15" s="160" t="s">
        <v>33</v>
      </c>
      <c r="K15" s="158"/>
      <c r="L15" s="158"/>
      <c r="M15" s="158"/>
      <c r="N15" s="158"/>
      <c r="O15" s="158"/>
      <c r="P15" s="158"/>
      <c r="Q15" s="158"/>
      <c r="R15" s="158"/>
      <c r="S15" s="158"/>
      <c r="T15" s="158"/>
      <c r="U15" s="158"/>
      <c r="V15" s="158"/>
      <c r="W15" s="158"/>
      <c r="X15" s="158"/>
      <c r="Y15" s="158"/>
      <c r="Z15" s="158"/>
      <c r="AA15" s="158"/>
      <c r="AB15" s="186"/>
    </row>
    <row r="16" spans="1:28" x14ac:dyDescent="0.25">
      <c r="A16" s="157"/>
      <c r="B16" s="158"/>
      <c r="C16" s="158"/>
      <c r="D16" s="158"/>
      <c r="E16" s="158"/>
      <c r="F16" s="158"/>
      <c r="G16" s="158"/>
      <c r="H16" s="104" t="s">
        <v>561</v>
      </c>
      <c r="I16" s="192">
        <f>I15*I12*I10</f>
        <v>90</v>
      </c>
      <c r="J16" s="160" t="s">
        <v>563</v>
      </c>
      <c r="K16" s="158"/>
      <c r="L16" s="158"/>
      <c r="M16" s="158"/>
      <c r="N16" s="158"/>
      <c r="O16" s="158"/>
      <c r="P16" s="158"/>
      <c r="Q16" s="158"/>
      <c r="R16" s="158"/>
      <c r="S16" s="158"/>
      <c r="T16" s="158"/>
      <c r="U16" s="158"/>
      <c r="V16" s="158"/>
      <c r="W16" s="158"/>
      <c r="X16" s="158"/>
      <c r="Y16" s="158"/>
      <c r="Z16" s="158"/>
      <c r="AA16" s="158"/>
      <c r="AB16" s="186"/>
    </row>
    <row r="17" spans="1:28" ht="15.75" thickBot="1" x14ac:dyDescent="0.3">
      <c r="A17" s="161"/>
      <c r="B17" s="162"/>
      <c r="C17" s="162"/>
      <c r="D17" s="162"/>
      <c r="E17" s="162"/>
      <c r="F17" s="162"/>
      <c r="G17" s="162"/>
      <c r="H17" s="164" t="s">
        <v>184</v>
      </c>
      <c r="I17" s="212">
        <v>250</v>
      </c>
      <c r="J17" s="163" t="s">
        <v>185</v>
      </c>
      <c r="K17" s="158"/>
      <c r="L17" s="158"/>
      <c r="M17" s="158"/>
      <c r="N17" s="158"/>
      <c r="O17" s="158"/>
      <c r="P17" s="158"/>
      <c r="Q17" s="158"/>
      <c r="R17" s="158"/>
      <c r="S17" s="158"/>
      <c r="T17" s="158"/>
      <c r="U17" s="158"/>
      <c r="V17" s="158"/>
      <c r="W17" s="158"/>
      <c r="X17" s="158"/>
      <c r="Y17" s="158"/>
      <c r="Z17" s="158"/>
      <c r="AA17" s="158"/>
      <c r="AB17" s="186"/>
    </row>
    <row r="18" spans="1:28" x14ac:dyDescent="0.25">
      <c r="A18" s="158"/>
      <c r="B18" s="158"/>
      <c r="C18" s="158"/>
      <c r="D18" s="158"/>
      <c r="E18" s="158"/>
      <c r="F18" s="158"/>
      <c r="G18" s="158"/>
      <c r="H18" s="159"/>
      <c r="I18" s="158"/>
      <c r="J18" s="158"/>
      <c r="K18" s="158"/>
      <c r="L18" s="158"/>
      <c r="M18" s="158"/>
      <c r="N18" s="158"/>
      <c r="O18" s="158"/>
      <c r="P18" s="158"/>
      <c r="Q18" s="158"/>
      <c r="R18" s="158"/>
      <c r="S18" s="158"/>
      <c r="T18" s="158"/>
      <c r="U18" s="158"/>
      <c r="V18" s="158"/>
      <c r="W18" s="158"/>
      <c r="X18" s="158"/>
      <c r="Y18" s="158"/>
      <c r="Z18" s="158"/>
      <c r="AA18" s="158"/>
      <c r="AB18" s="186"/>
    </row>
    <row r="19" spans="1:28" ht="21.75" thickBot="1" x14ac:dyDescent="0.4">
      <c r="A19" s="177" t="s">
        <v>349</v>
      </c>
      <c r="B19" s="158"/>
      <c r="C19" s="158"/>
      <c r="D19" s="158"/>
      <c r="E19" s="158"/>
      <c r="F19" s="158"/>
      <c r="G19" s="158"/>
      <c r="H19" s="159"/>
      <c r="I19" s="158"/>
      <c r="J19" s="158"/>
      <c r="K19" s="158"/>
      <c r="L19" s="158"/>
      <c r="M19" s="158"/>
      <c r="N19" s="158"/>
      <c r="O19" s="158"/>
      <c r="P19" s="158"/>
      <c r="Q19" s="158"/>
      <c r="R19" s="158"/>
      <c r="S19" s="158"/>
      <c r="T19" s="158"/>
      <c r="U19" s="158"/>
      <c r="V19" s="158"/>
      <c r="W19" s="158"/>
      <c r="X19" s="158"/>
      <c r="Y19" s="158"/>
      <c r="Z19" s="158"/>
      <c r="AA19" s="158"/>
      <c r="AB19" s="186"/>
    </row>
    <row r="20" spans="1:28" ht="18" x14ac:dyDescent="0.25">
      <c r="A20" s="153"/>
      <c r="B20" s="154"/>
      <c r="C20" s="154"/>
      <c r="D20" s="154"/>
      <c r="E20" s="154"/>
      <c r="F20" s="154"/>
      <c r="G20" s="179"/>
      <c r="H20" s="180" t="s">
        <v>189</v>
      </c>
      <c r="I20" s="193">
        <f>Calculations!B24/1000</f>
        <v>36</v>
      </c>
      <c r="J20" s="178" t="s">
        <v>190</v>
      </c>
      <c r="K20" s="158"/>
      <c r="L20" s="158"/>
      <c r="M20" s="158"/>
      <c r="N20" s="158"/>
      <c r="O20" s="158"/>
      <c r="P20" s="158"/>
      <c r="Q20" s="158"/>
      <c r="R20" s="158"/>
      <c r="S20" s="158"/>
      <c r="T20" s="158"/>
      <c r="U20" s="158"/>
      <c r="V20" s="158"/>
      <c r="W20" s="158"/>
      <c r="X20" s="158"/>
      <c r="Y20" s="158"/>
      <c r="Z20" s="158"/>
      <c r="AA20" s="158"/>
      <c r="AB20" s="186"/>
    </row>
    <row r="21" spans="1:28" x14ac:dyDescent="0.25">
      <c r="A21" s="157"/>
      <c r="B21" s="158"/>
      <c r="C21" s="158"/>
      <c r="D21" s="158"/>
      <c r="E21" s="158"/>
      <c r="F21" s="158"/>
      <c r="G21" s="158"/>
      <c r="H21" s="159" t="s">
        <v>191</v>
      </c>
      <c r="I21" s="192">
        <f>Calculations!B26/1000</f>
        <v>350</v>
      </c>
      <c r="J21" s="160" t="s">
        <v>185</v>
      </c>
      <c r="K21" s="158"/>
      <c r="L21" s="158"/>
      <c r="M21" s="158"/>
      <c r="N21" s="158"/>
      <c r="O21" s="158"/>
      <c r="P21" s="158"/>
      <c r="Q21" s="158"/>
      <c r="R21" s="158"/>
      <c r="S21" s="158"/>
      <c r="T21" s="158"/>
      <c r="U21" s="158"/>
      <c r="V21" s="158"/>
      <c r="W21" s="158"/>
      <c r="X21" s="158"/>
      <c r="Y21" s="158"/>
      <c r="Z21" s="158"/>
      <c r="AA21" s="158"/>
      <c r="AB21" s="186"/>
    </row>
    <row r="22" spans="1:28" ht="15.75" thickBot="1" x14ac:dyDescent="0.3">
      <c r="A22" s="161"/>
      <c r="B22" s="162"/>
      <c r="C22" s="162"/>
      <c r="D22" s="162"/>
      <c r="E22" s="162"/>
      <c r="F22" s="162"/>
      <c r="G22" s="162"/>
      <c r="H22" s="164" t="s">
        <v>192</v>
      </c>
      <c r="I22" s="194">
        <f>Calculations!B27/1000</f>
        <v>200</v>
      </c>
      <c r="J22" s="163" t="s">
        <v>185</v>
      </c>
      <c r="K22" s="158"/>
      <c r="L22" s="158"/>
      <c r="M22" s="158"/>
      <c r="N22" s="158"/>
      <c r="O22" s="158"/>
      <c r="P22" s="158"/>
      <c r="Q22" s="158"/>
      <c r="R22" s="158"/>
      <c r="S22" s="158"/>
      <c r="T22" s="158"/>
      <c r="U22" s="158"/>
      <c r="V22" s="158"/>
      <c r="W22" s="158"/>
      <c r="X22" s="158"/>
      <c r="Y22" s="158"/>
      <c r="Z22" s="158"/>
      <c r="AA22" s="158"/>
      <c r="AB22" s="186"/>
    </row>
    <row r="23" spans="1:28" x14ac:dyDescent="0.25">
      <c r="A23" s="158"/>
      <c r="B23" s="158"/>
      <c r="C23" s="158"/>
      <c r="D23" s="158"/>
      <c r="E23" s="158"/>
      <c r="F23" s="158"/>
      <c r="G23" s="158"/>
      <c r="H23" s="159"/>
      <c r="I23" s="158"/>
      <c r="J23" s="158"/>
      <c r="K23" s="158"/>
      <c r="L23" s="158"/>
      <c r="M23" s="158"/>
      <c r="N23" s="158"/>
      <c r="O23" s="158"/>
      <c r="P23" s="158"/>
      <c r="Q23" s="158"/>
      <c r="R23" s="158"/>
      <c r="S23" s="158"/>
      <c r="T23" s="158"/>
      <c r="U23" s="158"/>
      <c r="V23" s="158"/>
      <c r="W23" s="158"/>
      <c r="X23" s="158"/>
      <c r="Y23" s="158"/>
      <c r="Z23" s="158"/>
      <c r="AA23" s="158"/>
      <c r="AB23" s="186"/>
    </row>
    <row r="24" spans="1:28" ht="21.75" thickBot="1" x14ac:dyDescent="0.4">
      <c r="A24" s="177" t="s">
        <v>240</v>
      </c>
      <c r="B24" s="158"/>
      <c r="C24" s="158"/>
      <c r="D24" s="158"/>
      <c r="E24" s="158"/>
      <c r="F24" s="158"/>
      <c r="G24" s="158"/>
      <c r="H24" s="159"/>
      <c r="I24" s="158"/>
      <c r="J24" s="158"/>
      <c r="K24" s="158"/>
      <c r="L24" s="158"/>
      <c r="M24" s="158"/>
      <c r="N24" s="158"/>
      <c r="O24" s="158"/>
      <c r="P24" s="158"/>
      <c r="Q24" s="158"/>
      <c r="R24" s="158"/>
      <c r="S24" s="158"/>
      <c r="T24" s="158"/>
      <c r="U24" s="158"/>
      <c r="V24" s="158"/>
      <c r="W24" s="158"/>
      <c r="X24" s="158"/>
      <c r="Y24" s="158"/>
      <c r="Z24" s="158"/>
      <c r="AA24" s="158"/>
      <c r="AB24" s="186"/>
    </row>
    <row r="25" spans="1:28" x14ac:dyDescent="0.25">
      <c r="A25" s="153"/>
      <c r="B25" s="154"/>
      <c r="C25" s="154"/>
      <c r="D25" s="154"/>
      <c r="E25" s="154"/>
      <c r="F25" s="154"/>
      <c r="G25" s="154"/>
      <c r="H25" s="155" t="s">
        <v>292</v>
      </c>
      <c r="I25" s="210">
        <v>30</v>
      </c>
      <c r="J25" s="156" t="s">
        <v>188</v>
      </c>
      <c r="K25" s="158"/>
      <c r="L25" s="158"/>
      <c r="M25" s="158"/>
      <c r="N25" s="158"/>
      <c r="O25" s="158"/>
      <c r="P25" s="158"/>
      <c r="Q25" s="158"/>
      <c r="R25" s="158"/>
      <c r="S25" s="158"/>
      <c r="T25" s="158"/>
      <c r="U25" s="158"/>
      <c r="V25" s="158"/>
      <c r="W25" s="158"/>
      <c r="X25" s="158"/>
      <c r="Y25" s="158"/>
      <c r="Z25" s="158"/>
      <c r="AA25" s="158"/>
      <c r="AB25" s="186"/>
    </row>
    <row r="26" spans="1:28" ht="18" x14ac:dyDescent="0.35">
      <c r="A26" s="157"/>
      <c r="B26" s="158"/>
      <c r="C26" s="158"/>
      <c r="D26" s="158"/>
      <c r="E26" s="158"/>
      <c r="F26" s="158"/>
      <c r="G26" s="158"/>
      <c r="H26" s="159" t="s">
        <v>291</v>
      </c>
      <c r="I26" s="221">
        <f>Calculations!B41*(10^6)</f>
        <v>6.684444444444444</v>
      </c>
      <c r="J26" s="160" t="s">
        <v>249</v>
      </c>
      <c r="K26" s="158"/>
      <c r="L26" s="158"/>
      <c r="M26" s="158"/>
      <c r="N26" s="158"/>
      <c r="O26" s="158"/>
      <c r="P26" s="158"/>
      <c r="Q26" s="158"/>
      <c r="R26" s="158"/>
      <c r="S26" s="158"/>
      <c r="T26" s="158"/>
      <c r="U26" s="158"/>
      <c r="V26" s="158"/>
      <c r="W26" s="158"/>
      <c r="X26" s="158"/>
      <c r="Y26" s="158"/>
      <c r="Z26" s="158"/>
      <c r="AA26" s="158"/>
      <c r="AB26" s="186"/>
    </row>
    <row r="27" spans="1:28" ht="18" x14ac:dyDescent="0.35">
      <c r="A27" s="157"/>
      <c r="B27" s="158"/>
      <c r="C27" s="158"/>
      <c r="D27" s="158"/>
      <c r="E27" s="158"/>
      <c r="F27" s="158"/>
      <c r="G27" s="158"/>
      <c r="H27" s="159" t="s">
        <v>290</v>
      </c>
      <c r="I27" s="211">
        <v>10</v>
      </c>
      <c r="J27" s="160" t="s">
        <v>249</v>
      </c>
      <c r="K27" s="158"/>
      <c r="L27" s="158"/>
      <c r="M27" s="158"/>
      <c r="N27" s="158"/>
      <c r="O27" s="158"/>
      <c r="P27" s="158"/>
      <c r="Q27" s="158"/>
      <c r="R27" s="158"/>
      <c r="S27" s="158"/>
      <c r="T27" s="158"/>
      <c r="U27" s="158"/>
      <c r="V27" s="158"/>
      <c r="W27" s="158"/>
      <c r="X27" s="158"/>
      <c r="Y27" s="158"/>
      <c r="Z27" s="158"/>
      <c r="AA27" s="158"/>
      <c r="AB27" s="186"/>
    </row>
    <row r="28" spans="1:28" ht="18" x14ac:dyDescent="0.35">
      <c r="A28" s="157"/>
      <c r="B28" s="158"/>
      <c r="C28" s="158"/>
      <c r="D28" s="158"/>
      <c r="E28" s="158"/>
      <c r="F28" s="158"/>
      <c r="G28" s="158"/>
      <c r="H28" s="159" t="s">
        <v>683</v>
      </c>
      <c r="I28" s="211">
        <v>16.5</v>
      </c>
      <c r="J28" s="160" t="s">
        <v>307</v>
      </c>
      <c r="K28" s="158"/>
      <c r="L28" s="158"/>
      <c r="M28" s="158"/>
      <c r="N28" s="158"/>
      <c r="O28" s="158"/>
      <c r="P28" s="158"/>
      <c r="Q28" s="158"/>
      <c r="R28" s="158"/>
      <c r="S28" s="158"/>
      <c r="T28" s="158"/>
      <c r="U28" s="158"/>
      <c r="V28" s="158"/>
      <c r="W28" s="158"/>
      <c r="X28" s="158"/>
      <c r="Y28" s="158"/>
      <c r="Z28" s="158"/>
      <c r="AA28" s="158"/>
      <c r="AB28" s="186"/>
    </row>
    <row r="29" spans="1:28" ht="18" x14ac:dyDescent="0.35">
      <c r="A29" s="157"/>
      <c r="B29" s="158"/>
      <c r="C29" s="158"/>
      <c r="D29" s="158"/>
      <c r="E29" s="158"/>
      <c r="F29" s="158"/>
      <c r="G29" s="158"/>
      <c r="H29" s="159" t="s">
        <v>285</v>
      </c>
      <c r="I29" s="217">
        <f>Calculations!B45</f>
        <v>8.3256244218316375</v>
      </c>
      <c r="J29" s="160" t="s">
        <v>33</v>
      </c>
      <c r="K29" s="158"/>
      <c r="L29" s="158"/>
      <c r="M29" s="158"/>
      <c r="N29" s="158"/>
      <c r="O29" s="158"/>
      <c r="P29" s="158"/>
      <c r="Q29" s="158"/>
      <c r="R29" s="158"/>
      <c r="S29" s="158"/>
      <c r="T29" s="158"/>
      <c r="U29" s="158"/>
      <c r="V29" s="158"/>
      <c r="W29" s="158"/>
      <c r="X29" s="158"/>
      <c r="Y29" s="158"/>
      <c r="Z29" s="158"/>
      <c r="AA29" s="158"/>
      <c r="AB29" s="186"/>
    </row>
    <row r="30" spans="1:28" ht="18" x14ac:dyDescent="0.35">
      <c r="A30" s="157"/>
      <c r="B30" s="158"/>
      <c r="C30" s="158"/>
      <c r="D30" s="158"/>
      <c r="E30" s="158"/>
      <c r="F30" s="158"/>
      <c r="G30" s="158"/>
      <c r="H30" s="159" t="s">
        <v>282</v>
      </c>
      <c r="I30" s="217">
        <f>Calculations!B57</f>
        <v>9.1561799773871932</v>
      </c>
      <c r="J30" s="160" t="s">
        <v>33</v>
      </c>
      <c r="K30" s="158"/>
      <c r="L30" s="158"/>
      <c r="M30" s="158"/>
      <c r="N30" s="158"/>
      <c r="O30" s="158"/>
      <c r="P30" s="158"/>
      <c r="Q30" s="158"/>
      <c r="R30" s="158"/>
      <c r="S30" s="158"/>
      <c r="T30" s="158"/>
      <c r="U30" s="158"/>
      <c r="V30" s="158"/>
      <c r="W30" s="158"/>
      <c r="X30" s="158"/>
      <c r="Y30" s="158"/>
      <c r="Z30" s="158"/>
      <c r="AA30" s="158"/>
      <c r="AB30" s="186"/>
    </row>
    <row r="31" spans="1:28" x14ac:dyDescent="0.25">
      <c r="A31" s="157"/>
      <c r="B31" s="158"/>
      <c r="C31" s="158"/>
      <c r="D31" s="158"/>
      <c r="E31" s="158"/>
      <c r="F31" s="158"/>
      <c r="G31" s="158"/>
      <c r="H31" s="159"/>
      <c r="I31" s="217"/>
      <c r="J31" s="160"/>
      <c r="K31" s="158"/>
      <c r="L31" s="158"/>
      <c r="M31" s="158"/>
      <c r="N31" s="158"/>
      <c r="O31" s="158"/>
      <c r="P31" s="158"/>
      <c r="Q31" s="158"/>
      <c r="R31" s="158"/>
      <c r="S31" s="158"/>
      <c r="T31" s="158"/>
      <c r="U31" s="158"/>
      <c r="V31" s="158"/>
      <c r="W31" s="158"/>
      <c r="X31" s="158"/>
      <c r="Y31" s="158"/>
      <c r="Z31" s="158"/>
      <c r="AA31" s="158"/>
      <c r="AB31" s="186"/>
    </row>
    <row r="32" spans="1:28" ht="18" x14ac:dyDescent="0.35">
      <c r="A32" s="157"/>
      <c r="B32" s="158"/>
      <c r="C32" s="158"/>
      <c r="D32" s="158"/>
      <c r="E32" s="158"/>
      <c r="F32" s="158"/>
      <c r="G32" s="158"/>
      <c r="H32" s="159" t="s">
        <v>286</v>
      </c>
      <c r="I32" s="217">
        <f>Calculations!B46</f>
        <v>7.9787234042553195</v>
      </c>
      <c r="J32" s="160" t="s">
        <v>33</v>
      </c>
      <c r="K32" s="158"/>
      <c r="L32" s="158"/>
      <c r="M32" s="158"/>
      <c r="N32" s="158"/>
      <c r="O32" s="158"/>
      <c r="P32" s="158"/>
      <c r="Q32" s="158"/>
      <c r="R32" s="158"/>
      <c r="S32" s="158"/>
      <c r="T32" s="158"/>
      <c r="U32" s="158"/>
      <c r="V32" s="158"/>
      <c r="W32" s="158"/>
      <c r="X32" s="158"/>
      <c r="Y32" s="158"/>
      <c r="Z32" s="158"/>
      <c r="AA32" s="158"/>
      <c r="AB32" s="186"/>
    </row>
    <row r="33" spans="1:28" ht="18" x14ac:dyDescent="0.35">
      <c r="A33" s="157"/>
      <c r="B33" s="158"/>
      <c r="C33" s="158"/>
      <c r="D33" s="158"/>
      <c r="E33" s="158"/>
      <c r="F33" s="158"/>
      <c r="G33" s="158"/>
      <c r="H33" s="159" t="s">
        <v>284</v>
      </c>
      <c r="I33" s="217">
        <f>Calculations!B58</f>
        <v>8.7787234042553202</v>
      </c>
      <c r="J33" s="160" t="s">
        <v>33</v>
      </c>
      <c r="K33" s="158"/>
      <c r="L33" s="158"/>
      <c r="M33" s="158"/>
      <c r="N33" s="158"/>
      <c r="O33" s="158"/>
      <c r="P33" s="158"/>
      <c r="Q33" s="158"/>
      <c r="R33" s="158"/>
      <c r="S33" s="158"/>
      <c r="T33" s="158"/>
      <c r="U33" s="158"/>
      <c r="V33" s="158"/>
      <c r="W33" s="158"/>
      <c r="X33" s="158"/>
      <c r="Y33" s="158"/>
      <c r="Z33" s="158"/>
      <c r="AA33" s="158"/>
      <c r="AB33" s="186"/>
    </row>
    <row r="34" spans="1:28" x14ac:dyDescent="0.25">
      <c r="A34" s="157"/>
      <c r="B34" s="158"/>
      <c r="C34" s="158"/>
      <c r="D34" s="158"/>
      <c r="E34" s="158"/>
      <c r="F34" s="158"/>
      <c r="G34" s="158"/>
      <c r="H34" s="159"/>
      <c r="I34" s="217"/>
      <c r="J34" s="160"/>
      <c r="K34" s="158"/>
      <c r="L34" s="158"/>
      <c r="M34" s="158"/>
      <c r="N34" s="158"/>
      <c r="O34" s="158"/>
      <c r="P34" s="158"/>
      <c r="Q34" s="158"/>
      <c r="R34" s="158"/>
      <c r="S34" s="158"/>
      <c r="T34" s="158"/>
      <c r="U34" s="158"/>
      <c r="V34" s="158"/>
      <c r="W34" s="158"/>
      <c r="X34" s="158"/>
      <c r="Y34" s="158"/>
      <c r="Z34" s="158"/>
      <c r="AA34" s="158"/>
      <c r="AB34" s="186"/>
    </row>
    <row r="35" spans="1:28" ht="18" x14ac:dyDescent="0.35">
      <c r="A35" s="157"/>
      <c r="B35" s="158"/>
      <c r="C35" s="158"/>
      <c r="D35" s="158"/>
      <c r="E35" s="158"/>
      <c r="F35" s="158"/>
      <c r="G35" s="158"/>
      <c r="H35" s="159" t="s">
        <v>287</v>
      </c>
      <c r="I35" s="217">
        <f>Calculations!B47</f>
        <v>7.6595744680851068</v>
      </c>
      <c r="J35" s="160" t="s">
        <v>33</v>
      </c>
      <c r="K35" s="158"/>
      <c r="L35" s="158"/>
      <c r="M35" s="158"/>
      <c r="N35" s="158"/>
      <c r="O35" s="158"/>
      <c r="P35" s="158"/>
      <c r="Q35" s="158"/>
      <c r="R35" s="158"/>
      <c r="S35" s="158"/>
      <c r="T35" s="158"/>
      <c r="U35" s="158"/>
      <c r="V35" s="158"/>
      <c r="W35" s="158"/>
      <c r="X35" s="158"/>
      <c r="Y35" s="158"/>
      <c r="Z35" s="158"/>
      <c r="AA35" s="158"/>
      <c r="AB35" s="186"/>
    </row>
    <row r="36" spans="1:28" ht="18.75" thickBot="1" x14ac:dyDescent="0.4">
      <c r="A36" s="161"/>
      <c r="B36" s="162"/>
      <c r="C36" s="162"/>
      <c r="D36" s="162"/>
      <c r="E36" s="162"/>
      <c r="F36" s="162"/>
      <c r="G36" s="162"/>
      <c r="H36" s="164" t="s">
        <v>283</v>
      </c>
      <c r="I36" s="219">
        <f>Calculations!B59</f>
        <v>8.4234633569739952</v>
      </c>
      <c r="J36" s="163" t="s">
        <v>33</v>
      </c>
      <c r="K36" s="158"/>
      <c r="L36" s="158"/>
      <c r="M36" s="158"/>
      <c r="N36" s="158"/>
      <c r="O36" s="158"/>
      <c r="P36" s="158"/>
      <c r="Q36" s="158"/>
      <c r="R36" s="158"/>
      <c r="S36" s="158"/>
      <c r="T36" s="158"/>
      <c r="U36" s="158"/>
      <c r="V36" s="158"/>
      <c r="W36" s="158"/>
      <c r="X36" s="158"/>
      <c r="Y36" s="158"/>
      <c r="Z36" s="158"/>
      <c r="AA36" s="158"/>
      <c r="AB36" s="186"/>
    </row>
    <row r="37" spans="1:28" x14ac:dyDescent="0.25">
      <c r="A37" s="158"/>
      <c r="B37" s="158"/>
      <c r="C37" s="158"/>
      <c r="D37" s="158"/>
      <c r="E37" s="158"/>
      <c r="F37" s="158"/>
      <c r="G37" s="158"/>
      <c r="H37" s="159"/>
      <c r="I37" s="158"/>
      <c r="J37" s="158"/>
      <c r="K37" s="158"/>
      <c r="L37" s="158"/>
      <c r="M37" s="158"/>
      <c r="N37" s="158"/>
      <c r="O37" s="158"/>
      <c r="P37" s="158"/>
      <c r="Q37" s="158"/>
      <c r="R37" s="158"/>
      <c r="S37" s="158"/>
      <c r="T37" s="158"/>
      <c r="U37" s="158"/>
      <c r="V37" s="158"/>
      <c r="W37" s="158"/>
      <c r="X37" s="158"/>
      <c r="Y37" s="158"/>
      <c r="Z37" s="158"/>
      <c r="AA37" s="158"/>
      <c r="AB37" s="186"/>
    </row>
    <row r="38" spans="1:28" ht="21.75" thickBot="1" x14ac:dyDescent="0.4">
      <c r="A38" s="177" t="s">
        <v>289</v>
      </c>
      <c r="B38" s="158"/>
      <c r="C38" s="158"/>
      <c r="D38" s="158"/>
      <c r="E38" s="158"/>
      <c r="F38" s="158"/>
      <c r="G38" s="158"/>
      <c r="H38" s="159"/>
      <c r="I38" s="158"/>
      <c r="J38" s="158"/>
      <c r="K38" s="158"/>
      <c r="L38" s="158"/>
      <c r="M38" s="158"/>
      <c r="N38" s="158"/>
      <c r="O38" s="158"/>
      <c r="P38" s="158"/>
      <c r="Q38" s="158"/>
      <c r="R38" s="158"/>
      <c r="S38" s="158"/>
      <c r="T38" s="158"/>
      <c r="U38" s="158"/>
      <c r="V38" s="158"/>
      <c r="W38" s="158"/>
      <c r="X38" s="158"/>
      <c r="Y38" s="158"/>
      <c r="Z38" s="158"/>
      <c r="AA38" s="158"/>
      <c r="AB38" s="186"/>
    </row>
    <row r="39" spans="1:28" ht="18" x14ac:dyDescent="0.35">
      <c r="A39" s="153"/>
      <c r="B39" s="154"/>
      <c r="C39" s="154"/>
      <c r="D39" s="154"/>
      <c r="E39" s="154"/>
      <c r="F39" s="154"/>
      <c r="G39" s="154"/>
      <c r="H39" s="155" t="s">
        <v>293</v>
      </c>
      <c r="I39" s="210">
        <v>25</v>
      </c>
      <c r="J39" s="156" t="s">
        <v>188</v>
      </c>
      <c r="K39" s="158"/>
      <c r="L39" s="158"/>
      <c r="M39" s="158"/>
      <c r="N39" s="158"/>
      <c r="O39" s="158"/>
      <c r="P39" s="158"/>
      <c r="Q39" s="158"/>
      <c r="R39" s="158"/>
      <c r="S39" s="158"/>
      <c r="T39" s="158"/>
      <c r="U39" s="158"/>
      <c r="V39" s="158"/>
      <c r="W39" s="158"/>
      <c r="X39" s="158"/>
      <c r="Y39" s="158"/>
      <c r="Z39" s="158"/>
      <c r="AA39" s="158"/>
      <c r="AB39" s="186"/>
    </row>
    <row r="40" spans="1:28" ht="18" x14ac:dyDescent="0.35">
      <c r="A40" s="157"/>
      <c r="B40" s="158"/>
      <c r="C40" s="158"/>
      <c r="D40" s="158"/>
      <c r="E40" s="158"/>
      <c r="F40" s="158"/>
      <c r="G40" s="158"/>
      <c r="H40" s="159" t="s">
        <v>303</v>
      </c>
      <c r="I40" s="217">
        <f>Calculations!B83</f>
        <v>11.445224971733992</v>
      </c>
      <c r="J40" s="160" t="s">
        <v>33</v>
      </c>
      <c r="K40" s="158"/>
      <c r="L40" s="158"/>
      <c r="M40" s="158"/>
      <c r="N40" s="158"/>
      <c r="O40" s="158"/>
      <c r="P40" s="158"/>
      <c r="Q40" s="158"/>
      <c r="R40" s="158"/>
      <c r="S40" s="158"/>
      <c r="T40" s="158"/>
      <c r="U40" s="158"/>
      <c r="V40" s="158"/>
      <c r="W40" s="158"/>
      <c r="X40" s="158"/>
      <c r="Y40" s="158"/>
      <c r="Z40" s="158"/>
      <c r="AA40" s="158"/>
      <c r="AB40" s="186"/>
    </row>
    <row r="41" spans="1:28" ht="18" x14ac:dyDescent="0.35">
      <c r="A41" s="157"/>
      <c r="B41" s="158"/>
      <c r="C41" s="158"/>
      <c r="D41" s="158"/>
      <c r="E41" s="158"/>
      <c r="F41" s="158"/>
      <c r="G41" s="158"/>
      <c r="H41" s="159" t="s">
        <v>304</v>
      </c>
      <c r="I41" s="217">
        <f>Calculations!B86*1000</f>
        <v>6.5529511377212559</v>
      </c>
      <c r="J41" s="160" t="s">
        <v>305</v>
      </c>
      <c r="K41" s="158"/>
      <c r="L41" s="158"/>
      <c r="M41" s="158"/>
      <c r="N41" s="158"/>
      <c r="O41" s="158"/>
      <c r="P41" s="158"/>
      <c r="Q41" s="158"/>
      <c r="R41" s="158"/>
      <c r="S41" s="158"/>
      <c r="T41" s="158"/>
      <c r="U41" s="158"/>
      <c r="V41" s="158"/>
      <c r="W41" s="158"/>
      <c r="X41" s="158"/>
      <c r="Y41" s="158"/>
      <c r="Z41" s="158"/>
      <c r="AA41" s="158"/>
      <c r="AB41" s="186"/>
    </row>
    <row r="42" spans="1:28" ht="18" x14ac:dyDescent="0.35">
      <c r="A42" s="157"/>
      <c r="B42" s="158"/>
      <c r="C42" s="158"/>
      <c r="D42" s="158"/>
      <c r="E42" s="158"/>
      <c r="F42" s="158"/>
      <c r="G42" s="158"/>
      <c r="H42" s="159" t="s">
        <v>306</v>
      </c>
      <c r="I42" s="211">
        <v>6.55</v>
      </c>
      <c r="J42" s="160" t="s">
        <v>307</v>
      </c>
      <c r="K42" s="158"/>
      <c r="L42" s="158"/>
      <c r="M42" s="158"/>
      <c r="N42" s="158"/>
      <c r="O42" s="158"/>
      <c r="P42" s="158"/>
      <c r="Q42" s="158"/>
      <c r="R42" s="158"/>
      <c r="S42" s="158"/>
      <c r="T42" s="158"/>
      <c r="U42" s="158"/>
      <c r="V42" s="158"/>
      <c r="W42" s="158"/>
      <c r="X42" s="158"/>
      <c r="Y42" s="158"/>
      <c r="Z42" s="158"/>
      <c r="AA42" s="158"/>
      <c r="AB42" s="186"/>
    </row>
    <row r="43" spans="1:28" ht="18" x14ac:dyDescent="0.35">
      <c r="A43" s="157"/>
      <c r="B43" s="158"/>
      <c r="C43" s="158"/>
      <c r="D43" s="158"/>
      <c r="E43" s="158"/>
      <c r="F43" s="158"/>
      <c r="G43" s="158"/>
      <c r="H43" s="159" t="s">
        <v>311</v>
      </c>
      <c r="I43" s="192">
        <f>Calculations!B89</f>
        <v>11.450381679389313</v>
      </c>
      <c r="J43" s="160" t="s">
        <v>33</v>
      </c>
      <c r="K43" s="158"/>
      <c r="L43" s="158"/>
      <c r="M43" s="158"/>
      <c r="N43" s="158"/>
      <c r="O43" s="158"/>
      <c r="P43" s="158"/>
      <c r="Q43" s="158"/>
      <c r="R43" s="158"/>
      <c r="S43" s="158"/>
      <c r="T43" s="158"/>
      <c r="U43" s="158"/>
      <c r="V43" s="158"/>
      <c r="W43" s="158"/>
      <c r="X43" s="158"/>
      <c r="Y43" s="158"/>
      <c r="Z43" s="158"/>
      <c r="AA43" s="158"/>
      <c r="AB43" s="186"/>
    </row>
    <row r="44" spans="1:28" x14ac:dyDescent="0.25">
      <c r="A44" s="157"/>
      <c r="B44" s="158"/>
      <c r="C44" s="158"/>
      <c r="D44" s="158"/>
      <c r="E44" s="158"/>
      <c r="F44" s="158"/>
      <c r="G44" s="158"/>
      <c r="H44" s="159"/>
      <c r="I44" s="192"/>
      <c r="J44" s="160"/>
      <c r="K44" s="158"/>
      <c r="L44" s="158"/>
      <c r="M44" s="158"/>
      <c r="N44" s="158"/>
      <c r="O44" s="158"/>
      <c r="P44" s="158"/>
      <c r="Q44" s="158"/>
      <c r="R44" s="158"/>
      <c r="S44" s="158"/>
      <c r="T44" s="158"/>
      <c r="U44" s="158"/>
      <c r="V44" s="158"/>
      <c r="W44" s="158"/>
      <c r="X44" s="158"/>
      <c r="Y44" s="158"/>
      <c r="Z44" s="158"/>
      <c r="AA44" s="158"/>
      <c r="AB44" s="186"/>
    </row>
    <row r="45" spans="1:28" ht="18" x14ac:dyDescent="0.35">
      <c r="A45" s="157"/>
      <c r="B45" s="158"/>
      <c r="C45" s="158"/>
      <c r="D45" s="158"/>
      <c r="E45" s="158"/>
      <c r="F45" s="158"/>
      <c r="G45" s="158"/>
      <c r="H45" s="159" t="s">
        <v>319</v>
      </c>
      <c r="I45" s="217">
        <f>Calculations!B93</f>
        <v>6.784888912449345</v>
      </c>
      <c r="J45" s="160" t="s">
        <v>33</v>
      </c>
      <c r="K45" s="158"/>
      <c r="L45" s="158"/>
      <c r="M45" s="158"/>
      <c r="N45" s="158"/>
      <c r="O45" s="158"/>
      <c r="P45" s="158"/>
      <c r="Q45" s="158"/>
      <c r="R45" s="158"/>
      <c r="S45" s="158"/>
      <c r="T45" s="158"/>
      <c r="U45" s="158"/>
      <c r="V45" s="158"/>
      <c r="W45" s="158"/>
      <c r="X45" s="158"/>
      <c r="Y45" s="158"/>
      <c r="Z45" s="158"/>
      <c r="AA45" s="158"/>
      <c r="AB45" s="186"/>
    </row>
    <row r="46" spans="1:28" ht="18" x14ac:dyDescent="0.35">
      <c r="A46" s="157"/>
      <c r="B46" s="158"/>
      <c r="C46" s="158"/>
      <c r="D46" s="158"/>
      <c r="E46" s="158"/>
      <c r="F46" s="158"/>
      <c r="G46" s="158"/>
      <c r="H46" s="159" t="s">
        <v>318</v>
      </c>
      <c r="I46" s="217">
        <f>Calculations!B94</f>
        <v>7.1002544529262082</v>
      </c>
      <c r="J46" s="160" t="s">
        <v>33</v>
      </c>
      <c r="K46" s="158"/>
      <c r="L46" s="158"/>
      <c r="M46" s="158"/>
      <c r="N46" s="158"/>
      <c r="O46" s="158"/>
      <c r="P46" s="158"/>
      <c r="Q46" s="158"/>
      <c r="R46" s="158"/>
      <c r="S46" s="158"/>
      <c r="T46" s="158"/>
      <c r="U46" s="158"/>
      <c r="V46" s="158"/>
      <c r="W46" s="158"/>
      <c r="X46" s="158"/>
      <c r="Y46" s="158"/>
      <c r="Z46" s="158"/>
      <c r="AA46" s="158"/>
      <c r="AB46" s="186"/>
    </row>
    <row r="47" spans="1:28" ht="18.75" thickBot="1" x14ac:dyDescent="0.4">
      <c r="A47" s="161"/>
      <c r="B47" s="162"/>
      <c r="C47" s="162"/>
      <c r="D47" s="162"/>
      <c r="E47" s="162"/>
      <c r="F47" s="162"/>
      <c r="G47" s="162"/>
      <c r="H47" s="164" t="s">
        <v>320</v>
      </c>
      <c r="I47" s="219">
        <f>Calculations!B95</f>
        <v>7.4211755489586277</v>
      </c>
      <c r="J47" s="163" t="s">
        <v>33</v>
      </c>
      <c r="K47" s="158"/>
      <c r="L47" s="158"/>
      <c r="M47" s="158"/>
      <c r="N47" s="158"/>
      <c r="O47" s="158"/>
      <c r="P47" s="158"/>
      <c r="Q47" s="158"/>
      <c r="R47" s="158"/>
      <c r="S47" s="158"/>
      <c r="T47" s="158"/>
      <c r="U47" s="158"/>
      <c r="V47" s="158"/>
      <c r="W47" s="158"/>
      <c r="X47" s="158"/>
      <c r="Y47" s="158"/>
      <c r="Z47" s="158"/>
      <c r="AA47" s="158"/>
      <c r="AB47" s="186"/>
    </row>
    <row r="48" spans="1:28" x14ac:dyDescent="0.25">
      <c r="A48" s="158"/>
      <c r="B48" s="158"/>
      <c r="C48" s="158"/>
      <c r="D48" s="158"/>
      <c r="E48" s="158"/>
      <c r="F48" s="158"/>
      <c r="G48" s="158"/>
      <c r="H48" s="159"/>
      <c r="I48" s="158"/>
      <c r="J48" s="158"/>
      <c r="K48" s="158"/>
      <c r="L48" s="158"/>
      <c r="M48" s="158"/>
      <c r="N48" s="158"/>
      <c r="O48" s="158"/>
      <c r="P48" s="158"/>
      <c r="Q48" s="158"/>
      <c r="R48" s="158"/>
      <c r="S48" s="158"/>
      <c r="T48" s="158"/>
      <c r="U48" s="158"/>
      <c r="V48" s="158"/>
      <c r="W48" s="158"/>
      <c r="X48" s="158"/>
      <c r="Y48" s="158"/>
      <c r="Z48" s="158"/>
      <c r="AA48" s="158"/>
      <c r="AB48" s="186"/>
    </row>
    <row r="49" spans="1:28" ht="21.75" thickBot="1" x14ac:dyDescent="0.4">
      <c r="A49" s="177" t="s">
        <v>323</v>
      </c>
      <c r="B49" s="158"/>
      <c r="C49" s="158"/>
      <c r="D49" s="158"/>
      <c r="E49" s="158"/>
      <c r="F49" s="158"/>
      <c r="G49" s="158"/>
      <c r="H49" s="159"/>
      <c r="I49" s="158"/>
      <c r="J49" s="158"/>
      <c r="K49" s="158"/>
      <c r="L49" s="158"/>
      <c r="M49" s="158"/>
      <c r="N49" s="158"/>
      <c r="O49" s="158"/>
      <c r="P49" s="158"/>
      <c r="Q49" s="158"/>
      <c r="R49" s="158"/>
      <c r="S49" s="158"/>
      <c r="T49" s="158"/>
      <c r="U49" s="158"/>
      <c r="V49" s="158"/>
      <c r="W49" s="158"/>
      <c r="X49" s="158"/>
      <c r="Y49" s="158"/>
      <c r="Z49" s="158"/>
      <c r="AA49" s="158"/>
      <c r="AB49" s="186"/>
    </row>
    <row r="50" spans="1:28" ht="18" x14ac:dyDescent="0.35">
      <c r="A50" s="153"/>
      <c r="B50" s="154"/>
      <c r="C50" s="154"/>
      <c r="D50" s="154"/>
      <c r="E50" s="154"/>
      <c r="F50" s="154"/>
      <c r="G50" s="154"/>
      <c r="H50" s="155" t="s">
        <v>324</v>
      </c>
      <c r="I50" s="210">
        <v>1</v>
      </c>
      <c r="J50" s="156"/>
      <c r="K50" s="158"/>
      <c r="L50" s="158"/>
      <c r="M50" s="158"/>
      <c r="N50" s="158"/>
      <c r="O50" s="158"/>
      <c r="P50" s="158"/>
      <c r="Q50" s="158"/>
      <c r="R50" s="158"/>
      <c r="S50" s="158"/>
      <c r="T50" s="158"/>
      <c r="U50" s="158"/>
      <c r="V50" s="158"/>
      <c r="W50" s="158"/>
      <c r="X50" s="158"/>
      <c r="Y50" s="158"/>
      <c r="Z50" s="158"/>
      <c r="AA50" s="158"/>
      <c r="AB50" s="186"/>
    </row>
    <row r="51" spans="1:28" ht="18" x14ac:dyDescent="0.35">
      <c r="A51" s="157"/>
      <c r="B51" s="158"/>
      <c r="C51" s="158"/>
      <c r="D51" s="158"/>
      <c r="E51" s="158"/>
      <c r="F51" s="158"/>
      <c r="G51" s="158"/>
      <c r="H51" s="159" t="s">
        <v>674</v>
      </c>
      <c r="I51" s="217">
        <f>Calculations!B99/1000</f>
        <v>12.793333333333335</v>
      </c>
      <c r="J51" s="160" t="s">
        <v>330</v>
      </c>
      <c r="K51" s="158"/>
      <c r="L51" s="158"/>
      <c r="M51" s="158"/>
      <c r="N51" s="158"/>
      <c r="O51" s="158"/>
      <c r="P51" s="158"/>
      <c r="Q51" s="158"/>
      <c r="R51" s="158"/>
      <c r="S51" s="158"/>
      <c r="T51" s="158"/>
      <c r="U51" s="158"/>
      <c r="V51" s="158"/>
      <c r="W51" s="158"/>
      <c r="X51" s="158"/>
      <c r="Y51" s="158"/>
      <c r="Z51" s="158"/>
      <c r="AA51" s="158"/>
      <c r="AB51" s="186"/>
    </row>
    <row r="52" spans="1:28" ht="18" x14ac:dyDescent="0.35">
      <c r="A52" s="157"/>
      <c r="B52" s="158"/>
      <c r="C52" s="158"/>
      <c r="D52" s="158"/>
      <c r="E52" s="158"/>
      <c r="F52" s="158"/>
      <c r="G52" s="158"/>
      <c r="H52" s="159" t="s">
        <v>673</v>
      </c>
      <c r="I52" s="217">
        <f>Calculations!B100/1000</f>
        <v>140.9277745155608</v>
      </c>
      <c r="J52" s="160" t="s">
        <v>330</v>
      </c>
      <c r="K52" s="158"/>
      <c r="L52" s="158"/>
      <c r="M52" s="158"/>
      <c r="N52" s="158"/>
      <c r="O52" s="158"/>
      <c r="P52" s="158"/>
      <c r="Q52" s="158"/>
      <c r="R52" s="158"/>
      <c r="S52" s="158"/>
      <c r="T52" s="158"/>
      <c r="U52" s="158"/>
      <c r="V52" s="158"/>
      <c r="W52" s="158"/>
      <c r="X52" s="158"/>
      <c r="Y52" s="158"/>
      <c r="Z52" s="158"/>
      <c r="AA52" s="158"/>
      <c r="AB52" s="186"/>
    </row>
    <row r="53" spans="1:28" ht="18.75" thickBot="1" x14ac:dyDescent="0.4">
      <c r="A53" s="161"/>
      <c r="B53" s="162"/>
      <c r="C53" s="162"/>
      <c r="D53" s="162"/>
      <c r="E53" s="162"/>
      <c r="F53" s="162"/>
      <c r="G53" s="162"/>
      <c r="H53" s="164" t="s">
        <v>672</v>
      </c>
      <c r="I53" s="212">
        <v>142</v>
      </c>
      <c r="J53" s="163" t="s">
        <v>330</v>
      </c>
      <c r="K53" s="158"/>
      <c r="L53" s="158"/>
      <c r="M53" s="158"/>
      <c r="N53" s="158"/>
      <c r="O53" s="158"/>
      <c r="P53" s="158"/>
      <c r="Q53" s="158"/>
      <c r="R53" s="158"/>
      <c r="S53" s="158"/>
      <c r="T53" s="158"/>
      <c r="U53" s="158"/>
      <c r="V53" s="158"/>
      <c r="W53" s="158"/>
      <c r="X53" s="158"/>
      <c r="Y53" s="158"/>
      <c r="Z53" s="158"/>
      <c r="AA53" s="158"/>
      <c r="AB53" s="186"/>
    </row>
    <row r="54" spans="1:28" x14ac:dyDescent="0.25">
      <c r="A54" s="158"/>
      <c r="B54" s="158"/>
      <c r="C54" s="158"/>
      <c r="D54" s="158"/>
      <c r="E54" s="158"/>
      <c r="F54" s="158"/>
      <c r="G54" s="158"/>
      <c r="H54" s="159"/>
      <c r="I54" s="158"/>
      <c r="J54" s="158"/>
      <c r="K54" s="158"/>
      <c r="L54" s="158"/>
      <c r="M54" s="158"/>
      <c r="N54" s="158"/>
      <c r="O54" s="158"/>
      <c r="P54" s="158"/>
      <c r="Q54" s="158"/>
      <c r="R54" s="158"/>
      <c r="S54" s="158"/>
      <c r="T54" s="158"/>
      <c r="U54" s="158"/>
      <c r="V54" s="158"/>
      <c r="W54" s="158"/>
      <c r="X54" s="158"/>
      <c r="Y54" s="158"/>
      <c r="Z54" s="158"/>
      <c r="AA54" s="158"/>
      <c r="AB54" s="186"/>
    </row>
    <row r="55" spans="1:28" ht="24.75" thickBot="1" x14ac:dyDescent="0.5">
      <c r="A55" s="177" t="s">
        <v>552</v>
      </c>
      <c r="B55" s="158"/>
      <c r="C55" s="158"/>
      <c r="D55" s="158"/>
      <c r="E55" s="158"/>
      <c r="F55" s="158"/>
      <c r="G55" s="158"/>
      <c r="H55" s="159"/>
      <c r="I55" s="158"/>
      <c r="J55" s="158"/>
      <c r="K55" s="158"/>
      <c r="L55" s="158"/>
      <c r="M55" s="158"/>
      <c r="N55" s="158"/>
      <c r="O55" s="158"/>
      <c r="P55" s="158"/>
      <c r="Q55" s="158"/>
      <c r="R55" s="158"/>
      <c r="S55" s="158"/>
      <c r="T55" s="158"/>
      <c r="U55" s="158"/>
      <c r="V55" s="158"/>
      <c r="W55" s="158"/>
      <c r="X55" s="158"/>
      <c r="Y55" s="158"/>
      <c r="Z55" s="158"/>
      <c r="AA55" s="158"/>
      <c r="AB55" s="186"/>
    </row>
    <row r="56" spans="1:28" x14ac:dyDescent="0.25">
      <c r="A56" s="153"/>
      <c r="B56" s="154"/>
      <c r="C56" s="154"/>
      <c r="D56" s="154"/>
      <c r="E56" s="154"/>
      <c r="F56" s="154"/>
      <c r="G56" s="154"/>
      <c r="H56" s="155" t="s">
        <v>351</v>
      </c>
      <c r="I56" s="210">
        <v>50</v>
      </c>
      <c r="J56" s="156" t="s">
        <v>352</v>
      </c>
      <c r="K56" s="158"/>
      <c r="L56" s="158"/>
      <c r="M56" s="158"/>
      <c r="N56" s="158"/>
      <c r="O56" s="158"/>
      <c r="P56" s="158"/>
      <c r="Q56" s="158"/>
      <c r="R56" s="158"/>
      <c r="S56" s="158"/>
      <c r="T56" s="158"/>
      <c r="U56" s="158"/>
      <c r="V56" s="158"/>
      <c r="W56" s="158"/>
      <c r="X56" s="158"/>
      <c r="Y56" s="158"/>
      <c r="Z56" s="158"/>
      <c r="AA56" s="158"/>
      <c r="AB56" s="186"/>
    </row>
    <row r="57" spans="1:28" x14ac:dyDescent="0.25">
      <c r="A57" s="157"/>
      <c r="B57" s="158"/>
      <c r="C57" s="158"/>
      <c r="D57" s="158"/>
      <c r="E57" s="158"/>
      <c r="F57" s="158"/>
      <c r="G57" s="158"/>
      <c r="H57" s="159" t="s">
        <v>685</v>
      </c>
      <c r="I57" s="195">
        <f>Calculations!B112*(10^6)</f>
        <v>348.88888888888886</v>
      </c>
      <c r="J57" s="160" t="s">
        <v>355</v>
      </c>
      <c r="K57" s="158"/>
      <c r="L57" s="158"/>
      <c r="M57" s="158"/>
      <c r="N57" s="158"/>
      <c r="O57" s="158"/>
      <c r="P57" s="158"/>
      <c r="Q57" s="158"/>
      <c r="R57" s="158"/>
      <c r="S57" s="158"/>
      <c r="T57" s="158"/>
      <c r="U57" s="158"/>
      <c r="V57" s="158"/>
      <c r="W57" s="158"/>
      <c r="X57" s="158"/>
      <c r="Y57" s="158"/>
      <c r="Z57" s="158"/>
      <c r="AA57" s="158"/>
      <c r="AB57" s="186"/>
    </row>
    <row r="58" spans="1:28" ht="18" x14ac:dyDescent="0.35">
      <c r="A58" s="157"/>
      <c r="B58" s="158"/>
      <c r="C58" s="158"/>
      <c r="D58" s="158"/>
      <c r="E58" s="158"/>
      <c r="F58" s="158"/>
      <c r="G58" s="158"/>
      <c r="H58" s="159" t="s">
        <v>361</v>
      </c>
      <c r="I58" s="211">
        <v>600</v>
      </c>
      <c r="J58" s="160" t="s">
        <v>355</v>
      </c>
      <c r="K58" s="158"/>
      <c r="L58" s="158"/>
      <c r="M58" s="158"/>
      <c r="N58" s="158"/>
      <c r="O58" s="158"/>
      <c r="P58" s="158"/>
      <c r="Q58" s="158"/>
      <c r="R58" s="158"/>
      <c r="S58" s="158"/>
      <c r="T58" s="158"/>
      <c r="U58" s="158"/>
      <c r="V58" s="158"/>
      <c r="W58" s="158"/>
      <c r="X58" s="158"/>
      <c r="Y58" s="158"/>
      <c r="Z58" s="158"/>
      <c r="AA58" s="158"/>
      <c r="AB58" s="186"/>
    </row>
    <row r="59" spans="1:28" ht="18.75" thickBot="1" x14ac:dyDescent="0.4">
      <c r="A59" s="161"/>
      <c r="B59" s="162"/>
      <c r="C59" s="162"/>
      <c r="D59" s="162"/>
      <c r="E59" s="162"/>
      <c r="F59" s="162"/>
      <c r="G59" s="162"/>
      <c r="H59" s="164" t="s">
        <v>360</v>
      </c>
      <c r="I59" s="212">
        <v>50</v>
      </c>
      <c r="J59" s="163" t="s">
        <v>307</v>
      </c>
      <c r="K59" s="158"/>
      <c r="L59" s="158"/>
      <c r="M59" s="158"/>
      <c r="N59" s="158"/>
      <c r="O59" s="158"/>
      <c r="P59" s="158"/>
      <c r="Q59" s="158"/>
      <c r="R59" s="158"/>
      <c r="S59" s="158"/>
      <c r="T59" s="158"/>
      <c r="U59" s="158"/>
      <c r="V59" s="158"/>
      <c r="W59" s="158"/>
      <c r="X59" s="158"/>
      <c r="Y59" s="158"/>
      <c r="Z59" s="158"/>
      <c r="AA59" s="158"/>
      <c r="AB59" s="186"/>
    </row>
    <row r="60" spans="1:28" x14ac:dyDescent="0.25">
      <c r="A60" s="158"/>
      <c r="B60" s="158"/>
      <c r="C60" s="158"/>
      <c r="D60" s="158"/>
      <c r="E60" s="158"/>
      <c r="F60" s="158"/>
      <c r="G60" s="158"/>
      <c r="H60" s="159"/>
      <c r="I60" s="158"/>
      <c r="J60" s="158"/>
      <c r="K60" s="158"/>
      <c r="L60" s="158"/>
      <c r="M60" s="158"/>
      <c r="N60" s="158"/>
      <c r="O60" s="158"/>
      <c r="P60" s="158"/>
      <c r="Q60" s="158"/>
      <c r="R60" s="158"/>
      <c r="S60" s="158"/>
      <c r="T60" s="158"/>
      <c r="U60" s="158"/>
      <c r="V60" s="158"/>
      <c r="W60" s="158"/>
      <c r="X60" s="158"/>
      <c r="Y60" s="158"/>
      <c r="Z60" s="158"/>
      <c r="AA60" s="158"/>
      <c r="AB60" s="186"/>
    </row>
    <row r="61" spans="1:28" ht="21.75" thickBot="1" x14ac:dyDescent="0.4">
      <c r="A61" s="177" t="s">
        <v>556</v>
      </c>
      <c r="B61" s="158"/>
      <c r="C61" s="158"/>
      <c r="D61" s="158"/>
      <c r="E61" s="158"/>
      <c r="F61" s="158"/>
      <c r="G61" s="158"/>
      <c r="H61" s="159"/>
      <c r="I61" s="158"/>
      <c r="J61" s="158"/>
      <c r="K61" s="158"/>
      <c r="L61" s="158"/>
      <c r="M61" s="158"/>
      <c r="N61" s="158"/>
      <c r="O61" s="158"/>
      <c r="P61" s="158"/>
      <c r="Q61" s="158"/>
      <c r="R61" s="158"/>
      <c r="S61" s="158"/>
      <c r="T61" s="158"/>
      <c r="U61" s="158"/>
      <c r="V61" s="158"/>
      <c r="W61" s="158"/>
      <c r="X61" s="158"/>
      <c r="Y61" s="158"/>
      <c r="Z61" s="158"/>
      <c r="AA61" s="158"/>
      <c r="AB61" s="186"/>
    </row>
    <row r="62" spans="1:28" ht="18" x14ac:dyDescent="0.35">
      <c r="A62" s="153"/>
      <c r="B62" s="154"/>
      <c r="C62" s="154"/>
      <c r="D62" s="154"/>
      <c r="E62" s="154"/>
      <c r="F62" s="154"/>
      <c r="G62" s="154"/>
      <c r="H62" s="155" t="s">
        <v>373</v>
      </c>
      <c r="I62" s="210">
        <v>49.9</v>
      </c>
      <c r="J62" s="156" t="s">
        <v>330</v>
      </c>
      <c r="K62" s="158"/>
      <c r="L62" s="158"/>
      <c r="M62" s="158"/>
      <c r="N62" s="158"/>
      <c r="O62" s="158"/>
      <c r="P62" s="158"/>
      <c r="Q62" s="158"/>
      <c r="R62" s="158"/>
      <c r="S62" s="158"/>
      <c r="T62" s="158"/>
      <c r="U62" s="158"/>
      <c r="V62" s="158"/>
      <c r="W62" s="158"/>
      <c r="X62" s="158"/>
      <c r="Y62" s="158"/>
      <c r="Z62" s="158"/>
      <c r="AA62" s="158"/>
      <c r="AB62" s="186"/>
    </row>
    <row r="63" spans="1:28" ht="18" x14ac:dyDescent="0.35">
      <c r="A63" s="157"/>
      <c r="B63" s="158"/>
      <c r="C63" s="158"/>
      <c r="D63" s="158"/>
      <c r="E63" s="158"/>
      <c r="F63" s="158"/>
      <c r="G63" s="158"/>
      <c r="H63" s="159" t="s">
        <v>374</v>
      </c>
      <c r="I63" s="217">
        <f>Calculations!B161/1000</f>
        <v>3.5642857142857141</v>
      </c>
      <c r="J63" s="160" t="s">
        <v>330</v>
      </c>
      <c r="K63" s="158"/>
      <c r="L63" s="158"/>
      <c r="M63" s="158"/>
      <c r="N63" s="158"/>
      <c r="O63" s="158"/>
      <c r="P63" s="158"/>
      <c r="Q63" s="158"/>
      <c r="R63" s="158"/>
      <c r="S63" s="158"/>
      <c r="T63" s="158"/>
      <c r="U63" s="158"/>
      <c r="V63" s="158"/>
      <c r="W63" s="158"/>
      <c r="X63" s="158"/>
      <c r="Y63" s="158"/>
      <c r="Z63" s="158"/>
      <c r="AA63" s="158"/>
      <c r="AB63" s="186"/>
    </row>
    <row r="64" spans="1:28" ht="18.75" thickBot="1" x14ac:dyDescent="0.4">
      <c r="A64" s="161"/>
      <c r="B64" s="162"/>
      <c r="C64" s="162"/>
      <c r="D64" s="162"/>
      <c r="E64" s="162"/>
      <c r="F64" s="162"/>
      <c r="G64" s="162"/>
      <c r="H64" s="164" t="s">
        <v>375</v>
      </c>
      <c r="I64" s="212">
        <v>3.56</v>
      </c>
      <c r="J64" s="163" t="s">
        <v>330</v>
      </c>
      <c r="K64" s="158"/>
      <c r="L64" s="158"/>
      <c r="M64" s="158"/>
      <c r="N64" s="158"/>
      <c r="O64" s="158"/>
      <c r="P64" s="158"/>
      <c r="Q64" s="158"/>
      <c r="R64" s="158"/>
      <c r="S64" s="158"/>
      <c r="T64" s="158"/>
      <c r="U64" s="158"/>
      <c r="V64" s="158"/>
      <c r="W64" s="158"/>
      <c r="X64" s="158"/>
      <c r="Y64" s="158"/>
      <c r="Z64" s="158"/>
      <c r="AA64" s="158"/>
      <c r="AB64" s="186"/>
    </row>
    <row r="65" spans="1:28" x14ac:dyDescent="0.25">
      <c r="A65" s="158"/>
      <c r="B65" s="158"/>
      <c r="C65" s="158"/>
      <c r="D65" s="158"/>
      <c r="E65" s="158"/>
      <c r="F65" s="158"/>
      <c r="G65" s="158"/>
      <c r="H65" s="159"/>
      <c r="I65" s="158"/>
      <c r="J65" s="158"/>
      <c r="K65" s="158"/>
      <c r="L65" s="158"/>
      <c r="M65" s="158"/>
      <c r="N65" s="158"/>
      <c r="O65" s="158"/>
      <c r="P65" s="158"/>
      <c r="Q65" s="158"/>
      <c r="R65" s="158"/>
      <c r="S65" s="158"/>
      <c r="T65" s="158"/>
      <c r="U65" s="158"/>
      <c r="V65" s="158"/>
      <c r="W65" s="158"/>
      <c r="X65" s="158"/>
      <c r="Y65" s="158"/>
      <c r="Z65" s="158"/>
      <c r="AA65" s="158"/>
      <c r="AB65" s="186"/>
    </row>
    <row r="66" spans="1:28" ht="21.75" thickBot="1" x14ac:dyDescent="0.4">
      <c r="A66" s="177" t="s">
        <v>555</v>
      </c>
      <c r="B66" s="158"/>
      <c r="C66" s="158"/>
      <c r="D66" s="158"/>
      <c r="E66" s="158"/>
      <c r="F66" s="158"/>
      <c r="G66" s="158"/>
      <c r="H66" s="159"/>
      <c r="I66" s="158"/>
      <c r="J66" s="158"/>
      <c r="K66" s="158"/>
      <c r="L66" s="158"/>
      <c r="M66" s="158"/>
      <c r="N66" s="158"/>
      <c r="O66" s="158"/>
      <c r="P66" s="158"/>
      <c r="Q66" s="158"/>
      <c r="R66" s="158"/>
      <c r="S66" s="158"/>
      <c r="T66" s="158"/>
      <c r="U66" s="158"/>
      <c r="V66" s="158"/>
      <c r="W66" s="158"/>
      <c r="X66" s="158"/>
      <c r="Y66" s="158"/>
      <c r="Z66" s="158"/>
      <c r="AA66" s="158"/>
      <c r="AB66" s="186"/>
    </row>
    <row r="67" spans="1:28" ht="18" x14ac:dyDescent="0.35">
      <c r="A67" s="153"/>
      <c r="B67" s="154"/>
      <c r="C67" s="154"/>
      <c r="D67" s="154"/>
      <c r="E67" s="154"/>
      <c r="F67" s="154"/>
      <c r="G67" s="154"/>
      <c r="H67" s="155" t="s">
        <v>557</v>
      </c>
      <c r="I67" s="210">
        <v>10</v>
      </c>
      <c r="J67" s="156" t="s">
        <v>553</v>
      </c>
      <c r="K67" s="158"/>
      <c r="L67" s="158"/>
      <c r="M67" s="158"/>
      <c r="N67" s="158"/>
      <c r="O67" s="158"/>
      <c r="P67" s="158"/>
      <c r="Q67" s="158"/>
      <c r="R67" s="158"/>
      <c r="S67" s="158"/>
      <c r="T67" s="158"/>
      <c r="U67" s="158"/>
      <c r="V67" s="158"/>
      <c r="W67" s="158"/>
      <c r="X67" s="158"/>
      <c r="Y67" s="158"/>
      <c r="Z67" s="158"/>
      <c r="AA67" s="158"/>
      <c r="AB67" s="186"/>
    </row>
    <row r="68" spans="1:28" ht="18" x14ac:dyDescent="0.35">
      <c r="A68" s="157"/>
      <c r="B68" s="158"/>
      <c r="C68" s="158"/>
      <c r="D68" s="158"/>
      <c r="E68" s="158"/>
      <c r="F68" s="158"/>
      <c r="G68" s="158"/>
      <c r="H68" s="159" t="s">
        <v>558</v>
      </c>
      <c r="I68" s="192">
        <f>aTSSmax</f>
        <v>11.818181818181822</v>
      </c>
      <c r="J68" s="160" t="s">
        <v>553</v>
      </c>
      <c r="K68" s="158"/>
      <c r="L68" s="158"/>
      <c r="M68" s="158"/>
      <c r="N68" s="158"/>
      <c r="O68" s="158"/>
      <c r="P68" s="158"/>
      <c r="Q68" s="158"/>
      <c r="R68" s="158"/>
      <c r="S68" s="158"/>
      <c r="T68" s="158"/>
      <c r="U68" s="158"/>
      <c r="V68" s="158"/>
      <c r="W68" s="158"/>
      <c r="X68" s="158"/>
      <c r="Y68" s="158"/>
      <c r="Z68" s="158"/>
      <c r="AA68" s="158"/>
      <c r="AB68" s="186"/>
    </row>
    <row r="69" spans="1:28" ht="18.75" thickBot="1" x14ac:dyDescent="0.4">
      <c r="A69" s="161"/>
      <c r="B69" s="162"/>
      <c r="C69" s="162"/>
      <c r="D69" s="162"/>
      <c r="E69" s="162"/>
      <c r="F69" s="162"/>
      <c r="G69" s="162"/>
      <c r="H69" s="173" t="s">
        <v>554</v>
      </c>
      <c r="I69" s="194">
        <f>arCss</f>
        <v>272.72727272727275</v>
      </c>
      <c r="J69" s="163" t="s">
        <v>394</v>
      </c>
      <c r="K69" s="158"/>
      <c r="L69" s="158"/>
      <c r="M69" s="158"/>
      <c r="N69" s="158"/>
      <c r="O69" s="158"/>
      <c r="P69" s="158"/>
      <c r="Q69" s="158"/>
      <c r="R69" s="158"/>
      <c r="S69" s="158"/>
      <c r="T69" s="158"/>
      <c r="U69" s="158"/>
      <c r="V69" s="158"/>
      <c r="W69" s="158"/>
      <c r="X69" s="158"/>
      <c r="Y69" s="158"/>
      <c r="Z69" s="158"/>
      <c r="AA69" s="158"/>
      <c r="AB69" s="186"/>
    </row>
    <row r="70" spans="1:28" x14ac:dyDescent="0.25">
      <c r="A70" s="158"/>
      <c r="B70" s="158"/>
      <c r="C70" s="158"/>
      <c r="D70" s="158"/>
      <c r="E70" s="158"/>
      <c r="F70" s="158"/>
      <c r="G70" s="158"/>
      <c r="H70" s="171"/>
      <c r="I70" s="158"/>
      <c r="J70" s="158"/>
      <c r="K70" s="158"/>
      <c r="L70" s="158"/>
      <c r="M70" s="158"/>
      <c r="N70" s="158"/>
      <c r="O70" s="158"/>
      <c r="P70" s="158"/>
      <c r="Q70" s="158"/>
      <c r="R70" s="158"/>
      <c r="S70" s="158"/>
      <c r="T70" s="158"/>
      <c r="U70" s="158"/>
      <c r="V70" s="158"/>
      <c r="W70" s="158"/>
      <c r="X70" s="158"/>
      <c r="Y70" s="158"/>
      <c r="Z70" s="158"/>
      <c r="AA70" s="158"/>
      <c r="AB70" s="186"/>
    </row>
    <row r="71" spans="1:28" ht="21.75" thickBot="1" x14ac:dyDescent="0.4">
      <c r="A71" s="177" t="s">
        <v>680</v>
      </c>
      <c r="B71" s="158"/>
      <c r="C71" s="158"/>
      <c r="D71" s="158"/>
      <c r="E71" s="158"/>
      <c r="F71" s="158"/>
      <c r="G71" s="158"/>
      <c r="H71" s="171"/>
      <c r="I71" s="158"/>
      <c r="J71" s="158"/>
      <c r="K71" s="158"/>
      <c r="L71" s="158"/>
      <c r="M71" s="158"/>
      <c r="N71" s="158"/>
      <c r="O71" s="158"/>
      <c r="P71" s="158"/>
      <c r="Q71" s="158"/>
      <c r="R71" s="158"/>
      <c r="S71" s="158"/>
      <c r="T71" s="158"/>
      <c r="U71" s="158"/>
      <c r="V71" s="158"/>
      <c r="W71" s="158"/>
      <c r="X71" s="158"/>
      <c r="Y71" s="158"/>
      <c r="Z71" s="158"/>
      <c r="AA71" s="158"/>
      <c r="AB71" s="186"/>
    </row>
    <row r="72" spans="1:28" ht="18" x14ac:dyDescent="0.35">
      <c r="A72" s="232" t="s">
        <v>675</v>
      </c>
      <c r="B72" s="233"/>
      <c r="C72" s="233"/>
      <c r="D72" s="233"/>
      <c r="E72" s="233"/>
      <c r="F72" s="233"/>
      <c r="G72" s="233"/>
      <c r="H72" s="234"/>
      <c r="I72" s="210">
        <v>11.8</v>
      </c>
      <c r="J72" s="149" t="s">
        <v>34</v>
      </c>
      <c r="K72" s="158"/>
      <c r="L72" s="158"/>
      <c r="M72" s="158"/>
      <c r="N72" s="158"/>
      <c r="O72" s="158"/>
      <c r="P72" s="158"/>
      <c r="Q72" s="158"/>
      <c r="R72" s="158"/>
      <c r="S72" s="158"/>
      <c r="T72" s="158"/>
      <c r="U72" s="158"/>
      <c r="V72" s="158"/>
      <c r="W72" s="158"/>
      <c r="X72" s="158"/>
      <c r="Y72" s="158"/>
      <c r="Z72" s="158"/>
      <c r="AA72" s="158"/>
      <c r="AB72" s="186"/>
    </row>
    <row r="73" spans="1:28" ht="18" x14ac:dyDescent="0.35">
      <c r="A73" s="224" t="s">
        <v>676</v>
      </c>
      <c r="B73" s="225"/>
      <c r="C73" s="225"/>
      <c r="D73" s="225"/>
      <c r="E73" s="225"/>
      <c r="F73" s="225"/>
      <c r="G73" s="225"/>
      <c r="H73" s="226"/>
      <c r="I73" s="211">
        <v>11.5</v>
      </c>
      <c r="J73" s="47" t="s">
        <v>34</v>
      </c>
      <c r="K73" s="158"/>
      <c r="L73" s="158"/>
      <c r="M73" s="158"/>
      <c r="N73" s="158"/>
      <c r="O73" s="158"/>
      <c r="P73" s="158"/>
      <c r="Q73" s="158"/>
      <c r="R73" s="158"/>
      <c r="S73" s="158"/>
      <c r="T73" s="158"/>
      <c r="U73" s="158"/>
      <c r="V73" s="158"/>
      <c r="W73" s="158"/>
      <c r="X73" s="158"/>
      <c r="Y73" s="158"/>
      <c r="Z73" s="158"/>
      <c r="AA73" s="158"/>
      <c r="AB73" s="186"/>
    </row>
    <row r="74" spans="1:28" ht="18" x14ac:dyDescent="0.35">
      <c r="A74" s="224" t="s">
        <v>677</v>
      </c>
      <c r="B74" s="225"/>
      <c r="C74" s="225"/>
      <c r="D74" s="225"/>
      <c r="E74" s="225"/>
      <c r="F74" s="225"/>
      <c r="G74" s="225"/>
      <c r="H74" s="226"/>
      <c r="I74" s="151">
        <f>aRUV_upper</f>
        <v>30.000000000000068</v>
      </c>
      <c r="J74" s="46" t="s">
        <v>330</v>
      </c>
      <c r="K74" s="158"/>
      <c r="L74" s="158"/>
      <c r="M74" s="158"/>
      <c r="N74" s="158"/>
      <c r="O74" s="158"/>
      <c r="P74" s="158"/>
      <c r="Q74" s="158"/>
      <c r="R74" s="158"/>
      <c r="S74" s="158"/>
      <c r="T74" s="158"/>
      <c r="U74" s="158"/>
      <c r="V74" s="158"/>
      <c r="W74" s="158"/>
      <c r="X74" s="158"/>
      <c r="Y74" s="158"/>
      <c r="Z74" s="158"/>
      <c r="AA74" s="158"/>
      <c r="AB74" s="186"/>
    </row>
    <row r="75" spans="1:28" ht="18" x14ac:dyDescent="0.35">
      <c r="A75" s="224" t="s">
        <v>678</v>
      </c>
      <c r="B75" s="225"/>
      <c r="C75" s="225"/>
      <c r="D75" s="225"/>
      <c r="E75" s="225"/>
      <c r="F75" s="225"/>
      <c r="G75" s="225"/>
      <c r="H75" s="226"/>
      <c r="I75" s="211">
        <v>49.9</v>
      </c>
      <c r="J75" s="46" t="s">
        <v>330</v>
      </c>
      <c r="K75" s="158"/>
      <c r="L75" s="158"/>
      <c r="M75" s="158"/>
      <c r="N75" s="158"/>
      <c r="O75" s="158"/>
      <c r="P75" s="158"/>
      <c r="Q75" s="158"/>
      <c r="R75" s="158"/>
      <c r="S75" s="158"/>
      <c r="T75" s="158"/>
      <c r="U75" s="158"/>
      <c r="V75" s="158"/>
      <c r="W75" s="158"/>
      <c r="X75" s="158"/>
      <c r="Y75" s="158"/>
      <c r="Z75" s="158"/>
      <c r="AA75" s="158"/>
      <c r="AB75" s="186"/>
    </row>
    <row r="76" spans="1:28" ht="18.75" thickBot="1" x14ac:dyDescent="0.4">
      <c r="A76" s="227" t="s">
        <v>679</v>
      </c>
      <c r="B76" s="228"/>
      <c r="C76" s="228"/>
      <c r="D76" s="228"/>
      <c r="E76" s="228"/>
      <c r="F76" s="228"/>
      <c r="G76" s="228"/>
      <c r="H76" s="229"/>
      <c r="I76" s="222">
        <f>aRUV_lower</f>
        <v>5.6490566037735848</v>
      </c>
      <c r="J76" s="152" t="s">
        <v>330</v>
      </c>
      <c r="K76" s="158"/>
      <c r="L76" s="158"/>
      <c r="M76" s="158"/>
      <c r="N76" s="158"/>
      <c r="O76" s="158"/>
      <c r="P76" s="158"/>
      <c r="Q76" s="158"/>
      <c r="R76" s="158"/>
      <c r="S76" s="158"/>
      <c r="T76" s="158"/>
      <c r="U76" s="158"/>
      <c r="V76" s="158"/>
      <c r="W76" s="158"/>
      <c r="X76" s="158"/>
      <c r="Y76" s="158"/>
      <c r="Z76" s="158"/>
      <c r="AA76" s="158"/>
      <c r="AB76" s="186"/>
    </row>
    <row r="77" spans="1:28" x14ac:dyDescent="0.25">
      <c r="A77" s="158"/>
      <c r="B77" s="158"/>
      <c r="C77" s="158"/>
      <c r="D77" s="158"/>
      <c r="E77" s="158"/>
      <c r="F77" s="158"/>
      <c r="G77" s="158"/>
      <c r="H77" s="159"/>
      <c r="I77" s="158"/>
      <c r="J77" s="158"/>
      <c r="K77" s="158"/>
      <c r="L77" s="158"/>
      <c r="M77" s="158"/>
      <c r="N77" s="158"/>
      <c r="O77" s="158"/>
      <c r="P77" s="158"/>
      <c r="Q77" s="158"/>
      <c r="R77" s="158"/>
      <c r="S77" s="158"/>
      <c r="T77" s="158"/>
      <c r="U77" s="158"/>
      <c r="V77" s="158"/>
      <c r="W77" s="158"/>
      <c r="X77" s="158"/>
      <c r="Y77" s="158"/>
      <c r="Z77" s="158"/>
      <c r="AA77" s="158"/>
      <c r="AB77" s="186"/>
    </row>
    <row r="78" spans="1:28" ht="21.75" thickBot="1" x14ac:dyDescent="0.4">
      <c r="A78" s="177" t="s">
        <v>372</v>
      </c>
      <c r="B78" s="158"/>
      <c r="C78" s="158"/>
      <c r="D78" s="158"/>
      <c r="E78" s="158"/>
      <c r="F78" s="158"/>
      <c r="G78" s="158"/>
      <c r="H78" s="159"/>
      <c r="I78" s="158"/>
      <c r="J78" s="158"/>
      <c r="K78" s="158"/>
      <c r="L78" s="158"/>
      <c r="M78" s="158"/>
      <c r="N78" s="158"/>
      <c r="O78" s="158"/>
      <c r="P78" s="158"/>
      <c r="Q78" s="158"/>
      <c r="R78" s="158"/>
      <c r="S78" s="158"/>
      <c r="T78" s="158"/>
      <c r="U78" s="158"/>
      <c r="V78" s="158"/>
      <c r="W78" s="158"/>
      <c r="X78" s="158"/>
      <c r="Y78" s="158"/>
      <c r="Z78" s="158"/>
      <c r="AA78" s="158"/>
      <c r="AB78" s="186"/>
    </row>
    <row r="79" spans="1:28" x14ac:dyDescent="0.25">
      <c r="A79" s="153"/>
      <c r="B79" s="154"/>
      <c r="C79" s="154"/>
      <c r="D79" s="154"/>
      <c r="E79" s="154"/>
      <c r="F79" s="154"/>
      <c r="G79" s="154"/>
      <c r="H79" s="155" t="s">
        <v>430</v>
      </c>
      <c r="I79" s="220">
        <f>Calculations!B167/1000</f>
        <v>4.677386938645145</v>
      </c>
      <c r="J79" s="156" t="s">
        <v>185</v>
      </c>
      <c r="K79" s="158"/>
      <c r="L79" s="158"/>
      <c r="M79" s="158"/>
      <c r="N79" s="158"/>
      <c r="O79" s="158"/>
      <c r="P79" s="158"/>
      <c r="Q79" s="158"/>
      <c r="R79" s="158"/>
      <c r="S79" s="158"/>
      <c r="T79" s="158"/>
      <c r="U79" s="158"/>
      <c r="V79" s="158"/>
      <c r="W79" s="158"/>
      <c r="X79" s="158"/>
      <c r="Y79" s="158"/>
      <c r="Z79" s="158"/>
      <c r="AA79" s="158"/>
      <c r="AB79" s="186"/>
    </row>
    <row r="80" spans="1:28" x14ac:dyDescent="0.25">
      <c r="A80" s="157"/>
      <c r="B80" s="158"/>
      <c r="C80" s="158"/>
      <c r="D80" s="158"/>
      <c r="E80" s="158"/>
      <c r="F80" s="158"/>
      <c r="G80" s="158"/>
      <c r="H80" s="159" t="s">
        <v>429</v>
      </c>
      <c r="I80" s="211">
        <v>4.68</v>
      </c>
      <c r="J80" s="160" t="s">
        <v>185</v>
      </c>
      <c r="K80" s="158"/>
      <c r="L80" s="158"/>
      <c r="M80" s="158"/>
      <c r="N80" s="158"/>
      <c r="O80" s="158"/>
      <c r="P80" s="158"/>
      <c r="Q80" s="158"/>
      <c r="R80" s="158"/>
      <c r="S80" s="158"/>
      <c r="T80" s="158"/>
      <c r="U80" s="158"/>
      <c r="V80" s="158"/>
      <c r="W80" s="158"/>
      <c r="X80" s="158"/>
      <c r="Y80" s="158"/>
      <c r="Z80" s="158"/>
      <c r="AA80" s="158"/>
      <c r="AB80" s="186"/>
    </row>
    <row r="81" spans="1:28" x14ac:dyDescent="0.25">
      <c r="A81" s="157"/>
      <c r="B81" s="158"/>
      <c r="C81" s="158"/>
      <c r="D81" s="158"/>
      <c r="E81" s="158"/>
      <c r="F81" s="158"/>
      <c r="G81" s="158"/>
      <c r="H81" s="159"/>
      <c r="I81" s="192"/>
      <c r="J81" s="160"/>
      <c r="K81" s="158"/>
      <c r="L81" s="158"/>
      <c r="M81" s="158"/>
      <c r="N81" s="158"/>
      <c r="O81" s="158"/>
      <c r="P81" s="158"/>
      <c r="Q81" s="158"/>
      <c r="R81" s="158"/>
      <c r="S81" s="158"/>
      <c r="T81" s="158"/>
      <c r="U81" s="158"/>
      <c r="V81" s="158"/>
      <c r="W81" s="158"/>
      <c r="X81" s="158"/>
      <c r="Y81" s="158"/>
      <c r="Z81" s="158"/>
      <c r="AA81" s="158"/>
      <c r="AB81" s="186"/>
    </row>
    <row r="82" spans="1:28" ht="18" x14ac:dyDescent="0.35">
      <c r="A82" s="157"/>
      <c r="B82" s="158"/>
      <c r="C82" s="158"/>
      <c r="D82" s="158"/>
      <c r="E82" s="158"/>
      <c r="F82" s="158"/>
      <c r="G82" s="158" t="s">
        <v>472</v>
      </c>
      <c r="H82" s="159"/>
      <c r="I82" s="150">
        <v>12</v>
      </c>
      <c r="J82" s="160" t="s">
        <v>34</v>
      </c>
      <c r="K82" s="158"/>
      <c r="L82" s="158"/>
      <c r="M82" s="158"/>
      <c r="N82" s="158"/>
      <c r="O82" s="158"/>
      <c r="P82" s="158"/>
      <c r="Q82" s="158"/>
      <c r="R82" s="158"/>
      <c r="S82" s="158"/>
      <c r="T82" s="158"/>
      <c r="U82" s="158"/>
      <c r="V82" s="158"/>
      <c r="W82" s="158"/>
      <c r="X82" s="158"/>
      <c r="Y82" s="158"/>
      <c r="Z82" s="158"/>
      <c r="AA82" s="158"/>
      <c r="AB82" s="186"/>
    </row>
    <row r="83" spans="1:28" ht="15.75" thickBot="1" x14ac:dyDescent="0.3">
      <c r="A83" s="157"/>
      <c r="B83" s="158"/>
      <c r="C83" s="158"/>
      <c r="D83" s="158"/>
      <c r="E83" s="158"/>
      <c r="F83" s="158"/>
      <c r="G83" s="158"/>
      <c r="H83" s="159"/>
      <c r="I83" s="194"/>
      <c r="J83" s="160"/>
      <c r="K83" s="158"/>
      <c r="L83" s="158"/>
      <c r="M83" s="158"/>
      <c r="N83" s="158"/>
      <c r="O83" s="158"/>
      <c r="P83" s="158"/>
      <c r="Q83" s="158"/>
      <c r="R83" s="158"/>
      <c r="S83" s="158"/>
      <c r="T83" s="158"/>
      <c r="U83" s="158"/>
      <c r="V83" s="158"/>
      <c r="W83" s="158"/>
      <c r="X83" s="158"/>
      <c r="Y83" s="158"/>
      <c r="Z83" s="158"/>
      <c r="AA83" s="158"/>
      <c r="AB83" s="186"/>
    </row>
    <row r="84" spans="1:28" ht="15.75" thickBot="1" x14ac:dyDescent="0.3">
      <c r="A84" s="157"/>
      <c r="B84" s="158"/>
      <c r="C84" s="158"/>
      <c r="D84" s="158"/>
      <c r="E84" s="158"/>
      <c r="F84" s="51"/>
      <c r="G84" s="52" t="s">
        <v>431</v>
      </c>
      <c r="H84" s="52"/>
      <c r="I84" s="53" t="s">
        <v>432</v>
      </c>
      <c r="J84" s="54"/>
      <c r="K84" s="158"/>
      <c r="L84" s="158"/>
      <c r="M84" s="158"/>
      <c r="N84" s="158"/>
      <c r="O84" s="158"/>
      <c r="P84" s="158"/>
      <c r="Q84" s="158"/>
      <c r="R84" s="158"/>
      <c r="S84" s="158"/>
      <c r="T84" s="158"/>
      <c r="U84" s="158"/>
      <c r="V84" s="158"/>
      <c r="W84" s="158"/>
      <c r="X84" s="158"/>
      <c r="Y84" s="158"/>
      <c r="Z84" s="158"/>
      <c r="AA84" s="158"/>
      <c r="AB84" s="186"/>
    </row>
    <row r="85" spans="1:28" ht="18.75" thickBot="1" x14ac:dyDescent="0.4">
      <c r="A85" s="157"/>
      <c r="B85" s="158"/>
      <c r="C85" s="158"/>
      <c r="D85" s="158"/>
      <c r="E85" s="158"/>
      <c r="F85" s="170" t="s">
        <v>433</v>
      </c>
      <c r="G85" s="44">
        <f>Calculations!B169/1000</f>
        <v>86.496247726199982</v>
      </c>
      <c r="H85" s="45" t="s">
        <v>330</v>
      </c>
      <c r="I85" s="213">
        <v>52.8</v>
      </c>
      <c r="J85" s="46" t="s">
        <v>330</v>
      </c>
      <c r="K85" s="158"/>
      <c r="L85" s="158"/>
      <c r="M85" s="158"/>
      <c r="N85" s="158"/>
      <c r="O85" s="158"/>
      <c r="P85" s="158"/>
      <c r="Q85" s="158"/>
      <c r="R85" s="158"/>
      <c r="S85" s="158"/>
      <c r="T85" s="158"/>
      <c r="U85" s="158"/>
      <c r="V85" s="158"/>
      <c r="W85" s="158"/>
      <c r="X85" s="158"/>
      <c r="Y85" s="158"/>
      <c r="Z85" s="158"/>
      <c r="AA85" s="158"/>
      <c r="AB85" s="186"/>
    </row>
    <row r="86" spans="1:28" ht="18.75" thickBot="1" x14ac:dyDescent="0.4">
      <c r="A86" s="157"/>
      <c r="B86" s="158"/>
      <c r="C86" s="158"/>
      <c r="D86" s="158"/>
      <c r="E86" s="158"/>
      <c r="F86" s="170" t="s">
        <v>434</v>
      </c>
      <c r="G86" s="44">
        <f>Calculations!B170*10^9</f>
        <v>12.48609076567913</v>
      </c>
      <c r="H86" s="45" t="s">
        <v>394</v>
      </c>
      <c r="I86" s="213">
        <v>22</v>
      </c>
      <c r="J86" s="47" t="s">
        <v>394</v>
      </c>
      <c r="K86" s="158"/>
      <c r="L86" s="158"/>
      <c r="M86" s="158"/>
      <c r="N86" s="158"/>
      <c r="O86" s="158"/>
      <c r="P86" s="158"/>
      <c r="Q86" s="158"/>
      <c r="R86" s="158"/>
      <c r="S86" s="158"/>
      <c r="T86" s="158"/>
      <c r="U86" s="158"/>
      <c r="V86" s="158"/>
      <c r="W86" s="158"/>
      <c r="X86" s="158"/>
      <c r="Y86" s="158"/>
      <c r="Z86" s="158"/>
      <c r="AA86" s="158"/>
      <c r="AB86" s="186"/>
    </row>
    <row r="87" spans="1:28" ht="18.75" thickBot="1" x14ac:dyDescent="0.4">
      <c r="A87" s="161"/>
      <c r="B87" s="162"/>
      <c r="C87" s="162"/>
      <c r="D87" s="162"/>
      <c r="E87" s="162"/>
      <c r="F87" s="172" t="s">
        <v>435</v>
      </c>
      <c r="G87" s="48">
        <f>Calculations!B171*10^12</f>
        <v>356.74545044797509</v>
      </c>
      <c r="H87" s="49" t="s">
        <v>395</v>
      </c>
      <c r="I87" s="212">
        <v>560</v>
      </c>
      <c r="J87" s="50" t="s">
        <v>395</v>
      </c>
      <c r="K87" s="158"/>
      <c r="L87" s="158"/>
      <c r="M87" s="158"/>
      <c r="N87" s="158"/>
      <c r="O87" s="158"/>
      <c r="P87" s="158"/>
      <c r="Q87" s="158"/>
      <c r="R87" s="158"/>
      <c r="S87" s="158"/>
      <c r="T87" s="158"/>
      <c r="U87" s="158"/>
      <c r="V87" s="158"/>
      <c r="W87" s="158"/>
      <c r="X87" s="158"/>
      <c r="Y87" s="158"/>
      <c r="Z87" s="158"/>
      <c r="AA87" s="158"/>
      <c r="AB87" s="186"/>
    </row>
    <row r="88" spans="1:28" x14ac:dyDescent="0.25">
      <c r="A88" s="158"/>
      <c r="B88" s="158"/>
      <c r="C88" s="158"/>
      <c r="D88" s="158"/>
      <c r="E88" s="158"/>
      <c r="F88" s="158"/>
      <c r="G88" s="158"/>
      <c r="H88" s="159"/>
      <c r="I88" s="158"/>
      <c r="J88" s="158"/>
      <c r="K88" s="158"/>
      <c r="L88" s="158"/>
      <c r="M88" s="158"/>
      <c r="N88" s="158"/>
      <c r="O88" s="158"/>
      <c r="P88" s="158"/>
      <c r="Q88" s="158"/>
      <c r="R88" s="158"/>
      <c r="S88" s="158"/>
      <c r="T88" s="158"/>
      <c r="U88" s="158"/>
      <c r="V88" s="158"/>
      <c r="W88" s="158"/>
      <c r="X88" s="158"/>
      <c r="Y88" s="158"/>
      <c r="Z88" s="158"/>
      <c r="AA88" s="158"/>
      <c r="AB88" s="186"/>
    </row>
    <row r="89" spans="1:28" ht="23.25" x14ac:dyDescent="0.35">
      <c r="A89" s="191" t="s">
        <v>436</v>
      </c>
      <c r="B89" s="190"/>
      <c r="C89" s="190"/>
    </row>
    <row r="90" spans="1:28" x14ac:dyDescent="0.25">
      <c r="A90" s="158"/>
      <c r="B90" s="158"/>
      <c r="C90" s="158"/>
      <c r="D90" s="158"/>
      <c r="E90" s="158"/>
      <c r="F90" s="158"/>
      <c r="G90" s="158"/>
      <c r="H90" s="159"/>
      <c r="I90" s="159"/>
      <c r="J90" s="158"/>
      <c r="K90" s="159"/>
      <c r="L90" s="159"/>
      <c r="M90" s="158"/>
      <c r="N90" s="158"/>
      <c r="O90" s="158"/>
      <c r="P90" s="158"/>
      <c r="Q90" s="158"/>
      <c r="R90" s="158"/>
      <c r="S90" s="158"/>
      <c r="T90" s="158"/>
      <c r="U90" s="158"/>
      <c r="V90" s="158"/>
      <c r="W90" s="158"/>
      <c r="X90" s="158"/>
      <c r="Y90" s="158"/>
      <c r="Z90" s="158"/>
      <c r="AA90" s="158"/>
      <c r="AB90" s="186"/>
    </row>
    <row r="91" spans="1:28" x14ac:dyDescent="0.25">
      <c r="A91" s="158"/>
      <c r="B91" s="158"/>
      <c r="C91" s="158"/>
      <c r="D91" s="158"/>
      <c r="E91" s="158"/>
      <c r="F91" s="158"/>
      <c r="G91" s="158"/>
      <c r="H91" s="159"/>
      <c r="I91" s="158"/>
      <c r="J91" s="158"/>
      <c r="K91" s="158"/>
      <c r="L91" s="158"/>
      <c r="M91" s="158"/>
      <c r="N91" s="158"/>
      <c r="O91" s="158"/>
      <c r="P91" s="158"/>
      <c r="Q91" s="158"/>
      <c r="R91" s="158"/>
      <c r="S91" s="158"/>
      <c r="T91" s="158"/>
      <c r="U91" s="158"/>
      <c r="V91" s="158"/>
      <c r="W91" s="158"/>
      <c r="X91" s="158"/>
      <c r="Y91" s="158"/>
      <c r="Z91" s="158"/>
      <c r="AA91" s="158"/>
      <c r="AB91" s="186"/>
    </row>
    <row r="92" spans="1:28" ht="15.75" thickBot="1" x14ac:dyDescent="0.3">
      <c r="A92" s="176" t="s">
        <v>437</v>
      </c>
      <c r="B92" s="158"/>
      <c r="C92" s="158"/>
      <c r="D92" s="158"/>
      <c r="E92" s="158"/>
      <c r="F92" s="158"/>
      <c r="G92" s="158"/>
      <c r="H92" s="159"/>
      <c r="I92" s="158"/>
      <c r="J92" s="158"/>
      <c r="K92" s="158"/>
      <c r="L92" s="158"/>
      <c r="M92" s="158"/>
      <c r="N92" s="158"/>
      <c r="O92" s="158"/>
      <c r="P92" s="158"/>
      <c r="Q92" s="158"/>
      <c r="R92" s="158"/>
      <c r="S92" s="158"/>
      <c r="T92" s="158"/>
      <c r="U92" s="158"/>
      <c r="V92" s="158"/>
      <c r="W92" s="158"/>
      <c r="X92" s="158"/>
      <c r="Y92" s="158"/>
      <c r="Z92" s="158"/>
      <c r="AA92" s="158"/>
      <c r="AB92" s="186"/>
    </row>
    <row r="93" spans="1:28" ht="15.75" x14ac:dyDescent="0.3">
      <c r="A93" s="111"/>
      <c r="B93" s="112"/>
      <c r="C93" s="112"/>
      <c r="D93" s="112"/>
      <c r="E93" s="112"/>
      <c r="F93" s="112"/>
      <c r="G93" s="113" t="s">
        <v>582</v>
      </c>
      <c r="H93" s="214">
        <v>20</v>
      </c>
      <c r="I93" s="114" t="s">
        <v>583</v>
      </c>
      <c r="J93" s="158"/>
      <c r="K93" s="158"/>
      <c r="L93" s="158"/>
      <c r="M93" s="158"/>
      <c r="N93" s="158"/>
      <c r="O93" s="158"/>
      <c r="P93" s="158"/>
      <c r="Q93" s="158"/>
      <c r="R93" s="158"/>
      <c r="S93" s="158"/>
      <c r="T93" s="158"/>
      <c r="U93" s="158"/>
      <c r="V93" s="158"/>
      <c r="W93" s="158"/>
      <c r="X93" s="158"/>
      <c r="Y93" s="158"/>
      <c r="Z93" s="158"/>
      <c r="AA93" s="158"/>
      <c r="AB93" s="186"/>
    </row>
    <row r="94" spans="1:28" ht="15.75" x14ac:dyDescent="0.3">
      <c r="A94" s="115"/>
      <c r="B94" s="116"/>
      <c r="C94" s="116"/>
      <c r="D94" s="116"/>
      <c r="E94" s="116"/>
      <c r="F94" s="116"/>
      <c r="G94" s="117" t="s">
        <v>584</v>
      </c>
      <c r="H94" s="215">
        <v>15.6</v>
      </c>
      <c r="I94" s="118" t="s">
        <v>585</v>
      </c>
      <c r="J94" s="158"/>
      <c r="K94" s="158"/>
      <c r="L94" s="158"/>
      <c r="M94" s="158"/>
      <c r="N94" s="158"/>
      <c r="O94" s="158"/>
      <c r="P94" s="158"/>
      <c r="Q94" s="158"/>
      <c r="R94" s="158"/>
      <c r="S94" s="158"/>
      <c r="T94" s="158"/>
      <c r="U94" s="158"/>
      <c r="V94" s="158"/>
      <c r="W94" s="158"/>
      <c r="X94" s="158"/>
      <c r="Y94" s="158"/>
      <c r="Z94" s="158"/>
      <c r="AA94" s="158"/>
      <c r="AB94" s="186"/>
    </row>
    <row r="95" spans="1:28" ht="15.75" x14ac:dyDescent="0.3">
      <c r="A95" s="115"/>
      <c r="B95" s="116"/>
      <c r="C95" s="116"/>
      <c r="D95" s="116"/>
      <c r="E95" s="116"/>
      <c r="F95" s="116"/>
      <c r="G95" s="117" t="s">
        <v>586</v>
      </c>
      <c r="H95" s="215">
        <v>1.9</v>
      </c>
      <c r="I95" s="118" t="s">
        <v>585</v>
      </c>
      <c r="J95" s="158"/>
      <c r="K95" s="158"/>
      <c r="L95" s="158"/>
      <c r="M95" s="158"/>
      <c r="N95" s="158"/>
      <c r="O95" s="158"/>
      <c r="P95" s="158"/>
      <c r="Q95" s="158"/>
      <c r="R95" s="158"/>
      <c r="S95" s="158"/>
      <c r="T95" s="158"/>
      <c r="U95" s="158"/>
      <c r="V95" s="158"/>
      <c r="W95" s="158"/>
      <c r="X95" s="158"/>
      <c r="Y95" s="158"/>
      <c r="Z95" s="158"/>
      <c r="AA95" s="158"/>
      <c r="AB95" s="186"/>
    </row>
    <row r="96" spans="1:28" ht="15.75" x14ac:dyDescent="0.3">
      <c r="A96" s="119"/>
      <c r="B96" s="116"/>
      <c r="C96" s="116"/>
      <c r="D96" s="116"/>
      <c r="E96" s="116"/>
      <c r="F96" s="116"/>
      <c r="G96" s="117" t="s">
        <v>587</v>
      </c>
      <c r="H96" s="215">
        <v>1</v>
      </c>
      <c r="I96" s="118" t="s">
        <v>585</v>
      </c>
      <c r="J96" s="158"/>
      <c r="K96" s="158"/>
      <c r="L96" s="158"/>
      <c r="M96" s="158"/>
      <c r="N96" s="158"/>
      <c r="O96" s="158"/>
      <c r="P96" s="158"/>
      <c r="Q96" s="158"/>
      <c r="R96" s="158"/>
      <c r="S96" s="158"/>
      <c r="T96" s="158"/>
      <c r="U96" s="158"/>
      <c r="V96" s="158"/>
      <c r="W96" s="158"/>
      <c r="X96" s="158"/>
      <c r="Y96" s="158"/>
      <c r="Z96" s="158"/>
      <c r="AA96" s="158"/>
      <c r="AB96" s="186"/>
    </row>
    <row r="97" spans="1:28" ht="15.75" x14ac:dyDescent="0.3">
      <c r="A97" s="119"/>
      <c r="B97" s="116"/>
      <c r="C97" s="116"/>
      <c r="D97" s="116"/>
      <c r="E97" s="116"/>
      <c r="F97" s="116"/>
      <c r="G97" s="117" t="s">
        <v>588</v>
      </c>
      <c r="H97" s="215">
        <v>1.34</v>
      </c>
      <c r="I97" s="118" t="s">
        <v>589</v>
      </c>
      <c r="J97" s="158"/>
      <c r="K97" s="158"/>
      <c r="L97" s="158"/>
      <c r="M97" s="158"/>
      <c r="N97" s="158"/>
      <c r="O97" s="158"/>
      <c r="P97" s="158"/>
      <c r="Q97" s="158"/>
      <c r="R97" s="158"/>
      <c r="S97" s="158"/>
      <c r="T97" s="158"/>
      <c r="U97" s="158"/>
      <c r="V97" s="158"/>
      <c r="W97" s="158"/>
      <c r="X97" s="158"/>
      <c r="Y97" s="158"/>
      <c r="Z97" s="158"/>
      <c r="AA97" s="158"/>
      <c r="AB97" s="186"/>
    </row>
    <row r="98" spans="1:28" ht="16.5" thickBot="1" x14ac:dyDescent="0.35">
      <c r="A98" s="120"/>
      <c r="B98" s="121"/>
      <c r="C98" s="121"/>
      <c r="D98" s="121"/>
      <c r="E98" s="121"/>
      <c r="F98" s="121"/>
      <c r="G98" s="122" t="s">
        <v>590</v>
      </c>
      <c r="H98" s="216">
        <v>0.5</v>
      </c>
      <c r="I98" s="123" t="s">
        <v>34</v>
      </c>
      <c r="J98" s="158"/>
      <c r="K98" s="158"/>
      <c r="L98" s="158"/>
      <c r="M98" s="158"/>
      <c r="N98" s="158"/>
      <c r="O98" s="158"/>
      <c r="P98" s="158"/>
      <c r="Q98" s="158"/>
      <c r="R98" s="158"/>
      <c r="S98" s="158"/>
      <c r="T98" s="158"/>
      <c r="U98" s="158"/>
      <c r="V98" s="158"/>
      <c r="W98" s="158"/>
      <c r="X98" s="158"/>
      <c r="Y98" s="158"/>
      <c r="Z98" s="158"/>
      <c r="AA98" s="158"/>
      <c r="AB98" s="186"/>
    </row>
    <row r="99" spans="1:28" x14ac:dyDescent="0.25">
      <c r="A99" s="158"/>
      <c r="B99" s="158"/>
      <c r="C99" s="158"/>
      <c r="D99" s="158"/>
      <c r="E99" s="158"/>
      <c r="F99" s="158"/>
      <c r="G99" s="158"/>
      <c r="H99" s="159"/>
      <c r="I99" s="158"/>
      <c r="J99" s="158"/>
      <c r="K99" s="158"/>
      <c r="L99" s="158"/>
      <c r="M99" s="158"/>
      <c r="N99" s="158"/>
      <c r="O99" s="158"/>
      <c r="P99" s="158"/>
      <c r="Q99" s="158"/>
      <c r="R99" s="158"/>
      <c r="S99" s="158"/>
      <c r="T99" s="158"/>
      <c r="U99" s="158"/>
      <c r="V99" s="158"/>
      <c r="W99" s="158"/>
      <c r="X99" s="158"/>
      <c r="Y99" s="158"/>
      <c r="Z99" s="158"/>
      <c r="AA99" s="158"/>
      <c r="AB99" s="186"/>
    </row>
    <row r="100" spans="1:28" ht="18.75" thickBot="1" x14ac:dyDescent="0.4">
      <c r="A100" s="65" t="s">
        <v>438</v>
      </c>
      <c r="B100" s="158"/>
      <c r="C100" s="158"/>
      <c r="D100" s="158"/>
      <c r="E100" s="158"/>
      <c r="F100" s="158"/>
      <c r="G100" s="158"/>
      <c r="H100" s="159"/>
      <c r="I100" s="158"/>
      <c r="J100" s="158"/>
      <c r="K100" s="158"/>
      <c r="L100" s="158"/>
      <c r="M100" s="158"/>
      <c r="N100" s="158"/>
      <c r="O100" s="158"/>
      <c r="P100" s="158"/>
      <c r="Q100" s="158"/>
      <c r="R100" s="158"/>
      <c r="S100" s="158"/>
      <c r="T100" s="158"/>
      <c r="U100" s="158"/>
      <c r="V100" s="158"/>
      <c r="W100" s="158"/>
      <c r="X100" s="158"/>
      <c r="Y100" s="158"/>
      <c r="Z100" s="158"/>
      <c r="AA100" s="158"/>
      <c r="AB100" s="186"/>
    </row>
    <row r="101" spans="1:28" ht="15.75" x14ac:dyDescent="0.3">
      <c r="A101" s="111"/>
      <c r="B101" s="112"/>
      <c r="C101" s="112"/>
      <c r="D101" s="112"/>
      <c r="E101" s="112"/>
      <c r="F101" s="112"/>
      <c r="G101" s="113" t="s">
        <v>591</v>
      </c>
      <c r="H101" s="214">
        <v>20</v>
      </c>
      <c r="I101" s="114" t="s">
        <v>583</v>
      </c>
      <c r="J101" s="158"/>
      <c r="K101" s="158"/>
      <c r="L101" s="158"/>
      <c r="M101" s="158"/>
      <c r="N101" s="158"/>
      <c r="O101" s="158"/>
      <c r="P101" s="158"/>
      <c r="Q101" s="158"/>
      <c r="R101" s="158"/>
      <c r="S101" s="158"/>
      <c r="T101" s="158"/>
      <c r="U101" s="158"/>
      <c r="V101" s="158"/>
      <c r="W101" s="158"/>
      <c r="X101" s="158"/>
      <c r="Y101" s="158"/>
      <c r="Z101" s="158"/>
      <c r="AA101" s="158"/>
      <c r="AB101" s="186"/>
    </row>
    <row r="102" spans="1:28" ht="15.75" x14ac:dyDescent="0.3">
      <c r="A102" s="119"/>
      <c r="B102" s="116"/>
      <c r="C102" s="116"/>
      <c r="D102" s="116"/>
      <c r="E102" s="116"/>
      <c r="F102" s="116"/>
      <c r="G102" s="117" t="s">
        <v>592</v>
      </c>
      <c r="H102" s="215">
        <v>15.6</v>
      </c>
      <c r="I102" s="118" t="s">
        <v>585</v>
      </c>
      <c r="J102" s="158"/>
      <c r="K102" s="158"/>
      <c r="L102" s="158"/>
      <c r="M102" s="158"/>
      <c r="N102" s="158"/>
      <c r="O102" s="158"/>
      <c r="P102" s="158"/>
      <c r="Q102" s="158"/>
      <c r="R102" s="158"/>
      <c r="S102" s="158"/>
      <c r="T102" s="158"/>
      <c r="U102" s="158"/>
      <c r="V102" s="158"/>
      <c r="W102" s="158"/>
      <c r="X102" s="158"/>
      <c r="Y102" s="158"/>
      <c r="Z102" s="158"/>
      <c r="AA102" s="158"/>
      <c r="AB102" s="186"/>
    </row>
    <row r="103" spans="1:28" ht="15.75" x14ac:dyDescent="0.3">
      <c r="A103" s="119"/>
      <c r="B103" s="116"/>
      <c r="C103" s="116"/>
      <c r="D103" s="116"/>
      <c r="E103" s="116"/>
      <c r="F103" s="116"/>
      <c r="G103" s="117" t="s">
        <v>593</v>
      </c>
      <c r="H103" s="215">
        <v>1.9</v>
      </c>
      <c r="I103" s="118" t="s">
        <v>585</v>
      </c>
      <c r="J103" s="158"/>
      <c r="K103" s="158"/>
      <c r="L103" s="158"/>
      <c r="M103" s="158"/>
      <c r="N103" s="158"/>
      <c r="O103" s="158"/>
      <c r="P103" s="158"/>
      <c r="Q103" s="158"/>
      <c r="R103" s="158"/>
      <c r="S103" s="158"/>
      <c r="T103" s="158"/>
      <c r="U103" s="158"/>
      <c r="V103" s="158"/>
      <c r="W103" s="158"/>
      <c r="X103" s="158"/>
      <c r="Y103" s="158"/>
      <c r="Z103" s="158"/>
      <c r="AA103" s="158"/>
      <c r="AB103" s="186"/>
    </row>
    <row r="104" spans="1:28" ht="15.75" x14ac:dyDescent="0.3">
      <c r="A104" s="119"/>
      <c r="B104" s="116"/>
      <c r="C104" s="116"/>
      <c r="D104" s="116"/>
      <c r="E104" s="116"/>
      <c r="F104" s="116"/>
      <c r="G104" s="117" t="s">
        <v>594</v>
      </c>
      <c r="H104" s="215">
        <v>1</v>
      </c>
      <c r="I104" s="118" t="s">
        <v>585</v>
      </c>
      <c r="J104" s="158"/>
      <c r="K104" s="158"/>
      <c r="L104" s="158"/>
      <c r="M104" s="158"/>
      <c r="N104" s="158"/>
      <c r="O104" s="158"/>
      <c r="P104" s="158"/>
      <c r="Q104" s="158"/>
      <c r="R104" s="158"/>
      <c r="S104" s="158"/>
      <c r="T104" s="158"/>
      <c r="U104" s="158"/>
      <c r="V104" s="158"/>
      <c r="W104" s="158"/>
      <c r="X104" s="158"/>
      <c r="Y104" s="158"/>
      <c r="Z104" s="158"/>
      <c r="AA104" s="158"/>
      <c r="AB104" s="186"/>
    </row>
    <row r="105" spans="1:28" ht="15.75" x14ac:dyDescent="0.3">
      <c r="A105" s="119"/>
      <c r="B105" s="116"/>
      <c r="C105" s="116"/>
      <c r="D105" s="116"/>
      <c r="E105" s="116"/>
      <c r="F105" s="116"/>
      <c r="G105" s="117" t="s">
        <v>595</v>
      </c>
      <c r="H105" s="215">
        <v>1.34</v>
      </c>
      <c r="I105" s="118" t="s">
        <v>589</v>
      </c>
      <c r="J105" s="158"/>
      <c r="K105" s="158"/>
      <c r="L105" s="158"/>
      <c r="M105" s="158"/>
      <c r="N105" s="158"/>
      <c r="O105" s="158"/>
      <c r="P105" s="158"/>
      <c r="Q105" s="158"/>
      <c r="R105" s="158"/>
      <c r="S105" s="158"/>
      <c r="T105" s="158"/>
      <c r="U105" s="158"/>
      <c r="V105" s="158"/>
      <c r="W105" s="158"/>
      <c r="X105" s="158"/>
      <c r="Y105" s="158"/>
      <c r="Z105" s="158"/>
      <c r="AA105" s="158"/>
      <c r="AB105" s="186"/>
    </row>
    <row r="106" spans="1:28" ht="15.75" x14ac:dyDescent="0.3">
      <c r="A106" s="119"/>
      <c r="B106" s="116"/>
      <c r="C106" s="116"/>
      <c r="D106" s="116"/>
      <c r="E106" s="116"/>
      <c r="F106" s="116"/>
      <c r="G106" s="117" t="s">
        <v>596</v>
      </c>
      <c r="H106" s="215">
        <v>0.5</v>
      </c>
      <c r="I106" s="118" t="s">
        <v>34</v>
      </c>
      <c r="J106" s="158"/>
      <c r="K106" s="158"/>
      <c r="L106" s="158"/>
      <c r="M106" s="158"/>
      <c r="N106" s="158"/>
      <c r="O106" s="158"/>
      <c r="P106" s="158"/>
      <c r="Q106" s="158"/>
      <c r="R106" s="158"/>
      <c r="S106" s="158"/>
      <c r="T106" s="158"/>
      <c r="U106" s="158"/>
      <c r="V106" s="158"/>
      <c r="W106" s="158"/>
      <c r="X106" s="158"/>
      <c r="Y106" s="158"/>
      <c r="Z106" s="158"/>
      <c r="AA106" s="158"/>
      <c r="AB106" s="186"/>
    </row>
    <row r="107" spans="1:28" ht="18" x14ac:dyDescent="0.35">
      <c r="A107" s="119"/>
      <c r="B107" s="116"/>
      <c r="C107" s="116"/>
      <c r="D107" s="116"/>
      <c r="E107" s="116"/>
      <c r="F107" s="116"/>
      <c r="G107" s="124" t="s">
        <v>597</v>
      </c>
      <c r="H107" s="215">
        <v>33</v>
      </c>
      <c r="I107" s="125" t="s">
        <v>585</v>
      </c>
      <c r="J107" s="158"/>
      <c r="K107" s="158"/>
      <c r="L107" s="158"/>
      <c r="M107" s="158"/>
      <c r="N107" s="158"/>
      <c r="O107" s="158"/>
      <c r="P107" s="158"/>
      <c r="Q107" s="158"/>
      <c r="R107" s="158"/>
      <c r="S107" s="158"/>
      <c r="T107" s="158"/>
      <c r="U107" s="158"/>
      <c r="V107" s="158"/>
      <c r="W107" s="158"/>
      <c r="X107" s="158"/>
      <c r="Y107" s="158"/>
      <c r="Z107" s="158"/>
      <c r="AA107" s="158"/>
      <c r="AB107" s="186"/>
    </row>
    <row r="108" spans="1:28" ht="18.75" thickBot="1" x14ac:dyDescent="0.4">
      <c r="A108" s="120"/>
      <c r="B108" s="121"/>
      <c r="C108" s="121"/>
      <c r="D108" s="121"/>
      <c r="E108" s="121"/>
      <c r="F108" s="121"/>
      <c r="G108" s="126" t="s">
        <v>598</v>
      </c>
      <c r="H108" s="216">
        <v>0.7</v>
      </c>
      <c r="I108" s="127" t="s">
        <v>34</v>
      </c>
      <c r="J108" s="158"/>
      <c r="K108" s="158"/>
      <c r="L108" s="158"/>
      <c r="M108" s="158"/>
      <c r="N108" s="158"/>
      <c r="O108" s="158"/>
      <c r="P108" s="158"/>
      <c r="Q108" s="158"/>
      <c r="R108" s="158"/>
      <c r="S108" s="158"/>
      <c r="T108" s="158"/>
      <c r="U108" s="158"/>
      <c r="V108" s="158"/>
      <c r="W108" s="158"/>
      <c r="X108" s="158"/>
      <c r="Y108" s="158"/>
      <c r="Z108" s="158"/>
      <c r="AA108" s="158"/>
      <c r="AB108" s="186"/>
    </row>
    <row r="109" spans="1:28" x14ac:dyDescent="0.25">
      <c r="A109" s="158"/>
      <c r="B109" s="158"/>
      <c r="C109" s="158"/>
      <c r="D109" s="158"/>
      <c r="E109" s="158"/>
      <c r="F109" s="158"/>
      <c r="G109" s="158"/>
      <c r="H109" s="159"/>
      <c r="I109" s="158"/>
      <c r="J109" s="158"/>
      <c r="K109" s="158"/>
      <c r="L109" s="158"/>
      <c r="M109" s="158"/>
      <c r="N109" s="158"/>
      <c r="O109" s="158"/>
      <c r="P109" s="158"/>
      <c r="Q109" s="158"/>
      <c r="R109" s="158"/>
      <c r="S109" s="158"/>
      <c r="T109" s="158"/>
      <c r="U109" s="158"/>
      <c r="V109" s="158"/>
      <c r="W109" s="158"/>
      <c r="X109" s="158"/>
      <c r="Y109" s="158"/>
      <c r="Z109" s="158"/>
      <c r="AA109" s="158"/>
      <c r="AB109" s="186"/>
    </row>
    <row r="110" spans="1:28" x14ac:dyDescent="0.25">
      <c r="A110" s="158"/>
      <c r="B110" s="158"/>
      <c r="C110" s="158"/>
      <c r="D110" s="158"/>
      <c r="E110" s="158"/>
      <c r="F110" s="158"/>
      <c r="G110" s="158"/>
      <c r="H110" s="159"/>
      <c r="I110" s="158"/>
      <c r="J110" s="158"/>
      <c r="K110" s="158"/>
      <c r="L110" s="158"/>
      <c r="M110" s="158"/>
      <c r="N110" s="158"/>
      <c r="O110" s="158"/>
      <c r="P110" s="158"/>
      <c r="Q110" s="158"/>
      <c r="R110" s="158"/>
      <c r="S110" s="158"/>
      <c r="T110" s="158"/>
      <c r="U110" s="158"/>
      <c r="V110" s="158"/>
      <c r="W110" s="158"/>
      <c r="X110" s="158"/>
      <c r="Y110" s="158"/>
      <c r="Z110" s="158"/>
      <c r="AA110" s="158"/>
      <c r="AB110" s="186"/>
    </row>
    <row r="111" spans="1:28" x14ac:dyDescent="0.25">
      <c r="A111" s="158"/>
      <c r="B111" s="158"/>
      <c r="C111" s="158"/>
      <c r="D111" s="158"/>
      <c r="E111" s="158"/>
      <c r="F111" s="158"/>
      <c r="G111" s="158"/>
      <c r="H111" s="159"/>
      <c r="I111" s="158"/>
      <c r="J111" s="158"/>
      <c r="K111" s="158"/>
      <c r="L111" s="158"/>
      <c r="M111" s="158"/>
      <c r="N111" s="158"/>
      <c r="O111" s="158"/>
      <c r="P111" s="158"/>
      <c r="Q111" s="158"/>
      <c r="R111" s="158"/>
      <c r="S111" s="158"/>
      <c r="T111" s="158"/>
      <c r="U111" s="158"/>
      <c r="V111" s="158"/>
      <c r="W111" s="158"/>
      <c r="X111" s="158"/>
      <c r="Y111" s="158"/>
      <c r="Z111" s="158"/>
      <c r="AA111" s="158"/>
      <c r="AB111" s="186"/>
    </row>
    <row r="112" spans="1:28" x14ac:dyDescent="0.25">
      <c r="A112" s="158"/>
      <c r="B112" s="158"/>
      <c r="C112" s="158"/>
      <c r="D112" s="158"/>
      <c r="E112" s="158"/>
      <c r="F112" s="158"/>
      <c r="G112" s="158"/>
      <c r="H112" s="159"/>
      <c r="I112" s="158"/>
      <c r="J112" s="158"/>
      <c r="K112" s="158"/>
      <c r="L112" s="158"/>
      <c r="M112" s="158"/>
      <c r="N112" s="158"/>
      <c r="O112" s="158"/>
      <c r="P112" s="158"/>
      <c r="Q112" s="158"/>
      <c r="R112" s="158"/>
      <c r="S112" s="158"/>
      <c r="T112" s="158"/>
      <c r="U112" s="158"/>
      <c r="V112" s="158"/>
      <c r="W112" s="158"/>
      <c r="X112" s="158"/>
      <c r="Y112" s="158"/>
      <c r="Z112" s="158"/>
      <c r="AA112" s="158"/>
      <c r="AB112" s="186"/>
    </row>
    <row r="113" spans="1:28" x14ac:dyDescent="0.25">
      <c r="A113" s="158"/>
      <c r="B113" s="158"/>
      <c r="C113" s="158"/>
      <c r="D113" s="158"/>
      <c r="E113" s="158"/>
      <c r="F113" s="158"/>
      <c r="G113" s="158"/>
      <c r="H113" s="159"/>
      <c r="I113" s="158"/>
      <c r="J113" s="158"/>
      <c r="K113" s="158"/>
      <c r="L113" s="158"/>
      <c r="M113" s="158"/>
      <c r="N113" s="158"/>
      <c r="O113" s="158"/>
      <c r="P113" s="158"/>
      <c r="Q113" s="158"/>
      <c r="R113" s="158"/>
      <c r="S113" s="158"/>
      <c r="T113" s="158"/>
      <c r="U113" s="158"/>
      <c r="V113" s="158"/>
      <c r="W113" s="158"/>
      <c r="X113" s="158"/>
      <c r="Y113" s="158"/>
      <c r="Z113" s="158"/>
      <c r="AA113" s="158"/>
      <c r="AB113" s="186"/>
    </row>
    <row r="114" spans="1:28" x14ac:dyDescent="0.25">
      <c r="A114" s="158"/>
      <c r="B114" s="158"/>
      <c r="C114" s="158"/>
      <c r="D114" s="158"/>
      <c r="E114" s="158"/>
      <c r="F114" s="158"/>
      <c r="G114" s="158"/>
      <c r="H114" s="159"/>
      <c r="I114" s="158"/>
      <c r="J114" s="158"/>
      <c r="K114" s="158"/>
      <c r="L114" s="158"/>
      <c r="M114" s="158"/>
      <c r="N114" s="158"/>
      <c r="O114" s="158"/>
      <c r="P114" s="158"/>
      <c r="Q114" s="158"/>
      <c r="R114" s="158"/>
      <c r="S114" s="158"/>
      <c r="T114" s="158"/>
      <c r="U114" s="158"/>
      <c r="V114" s="158"/>
      <c r="W114" s="158"/>
      <c r="X114" s="158"/>
      <c r="Y114" s="158"/>
      <c r="Z114" s="158"/>
      <c r="AA114" s="158"/>
      <c r="AB114" s="186"/>
    </row>
    <row r="115" spans="1:28" x14ac:dyDescent="0.25">
      <c r="A115" s="186"/>
      <c r="B115" s="186"/>
      <c r="C115" s="186"/>
      <c r="D115" s="186"/>
      <c r="E115" s="186"/>
      <c r="F115" s="186"/>
      <c r="G115" s="186"/>
      <c r="H115" s="187"/>
      <c r="I115" s="186"/>
      <c r="J115" s="186"/>
      <c r="K115" s="186"/>
      <c r="L115" s="186"/>
      <c r="M115" s="186"/>
      <c r="N115" s="186"/>
      <c r="O115" s="186"/>
      <c r="P115" s="186"/>
      <c r="Q115" s="186"/>
      <c r="R115" s="186"/>
      <c r="S115" s="186"/>
      <c r="T115" s="186"/>
      <c r="U115" s="186"/>
      <c r="V115" s="186"/>
      <c r="W115" s="186"/>
      <c r="X115" s="186"/>
      <c r="Y115" s="186"/>
      <c r="Z115" s="186"/>
      <c r="AA115" s="186"/>
      <c r="AB115" s="186"/>
    </row>
  </sheetData>
  <sheetProtection algorithmName="SHA-512" hashValue="Ka6Afmuadv2X8bVSE4ZhoeITaTc8gf1/z94imKNtjlk2WMv002oPdUAKYLBOMCdzV0jmInS2E7DxYH/qRsDWRw==" saltValue="l7TacuIv/VaA/5vNsy5b4Q==" spinCount="100000" sheet="1" objects="1" scenarios="1" selectLockedCells="1"/>
  <mergeCells count="8">
    <mergeCell ref="A74:H74"/>
    <mergeCell ref="A75:H75"/>
    <mergeCell ref="A76:H76"/>
    <mergeCell ref="O3:P3"/>
    <mergeCell ref="O11:Q12"/>
    <mergeCell ref="A72:H72"/>
    <mergeCell ref="A73:H73"/>
    <mergeCell ref="J3:M3"/>
  </mergeCells>
  <conditionalFormatting sqref="I7:I9">
    <cfRule type="cellIs" dxfId="6" priority="5" operator="lessThan">
      <formula>3</formula>
    </cfRule>
    <cfRule type="cellIs" dxfId="5" priority="6" operator="greaterThan">
      <formula>65</formula>
    </cfRule>
    <cfRule type="cellIs" dxfId="4" priority="7" operator="lessThan">
      <formula>4.5</formula>
    </cfRule>
  </conditionalFormatting>
  <conditionalFormatting sqref="I8">
    <cfRule type="cellIs" dxfId="3" priority="1" operator="notBetween">
      <formula>$I$7</formula>
      <formula>$I$9</formula>
    </cfRule>
  </conditionalFormatting>
  <conditionalFormatting sqref="I17">
    <cfRule type="cellIs" dxfId="2" priority="4" operator="notBetween">
      <formula>50</formula>
      <formula>1000</formula>
    </cfRule>
  </conditionalFormatting>
  <conditionalFormatting sqref="I50">
    <cfRule type="cellIs" dxfId="1" priority="3" operator="notBetween">
      <formula>0.5</formula>
      <formula>3</formula>
    </cfRule>
  </conditionalFormatting>
  <conditionalFormatting sqref="I82">
    <cfRule type="cellIs" dxfId="0" priority="2" operator="notBetween">
      <formula>$I$7</formula>
      <formula>$I$9</formula>
    </cfRule>
  </conditionalFormatting>
  <hyperlinks>
    <hyperlink ref="J3" r:id="rId1" xr:uid="{40D41915-AD4F-4E7B-91A1-2F85CA026379}"/>
    <hyperlink ref="O3:P3" location="Licenses!A1" display="TERMS OF USE" xr:uid="{F00D3575-3104-4C63-B094-9F08012F0DB7}"/>
  </hyperlinks>
  <pageMargins left="0.7" right="0.7" top="0.75" bottom="0.75" header="0.3" footer="0.3"/>
  <pageSetup orientation="portrait" r:id="rId2"/>
  <drawing r:id="rId3"/>
  <legacyDrawing r:id="rId4"/>
  <oleObjects>
    <mc:AlternateContent xmlns:mc="http://schemas.openxmlformats.org/markup-compatibility/2006">
      <mc:Choice Requires="x14">
        <oleObject progId="Visio.Drawing.15" shapeId="2062" r:id="rId5">
          <objectPr defaultSize="0" autoPict="0" r:id="rId6">
            <anchor moveWithCells="1">
              <from>
                <xdr:col>10</xdr:col>
                <xdr:colOff>276225</xdr:colOff>
                <xdr:row>5</xdr:row>
                <xdr:rowOff>66675</xdr:rowOff>
              </from>
              <to>
                <xdr:col>25</xdr:col>
                <xdr:colOff>514350</xdr:colOff>
                <xdr:row>27</xdr:row>
                <xdr:rowOff>38100</xdr:rowOff>
              </to>
            </anchor>
          </objectPr>
        </oleObject>
      </mc:Choice>
      <mc:Fallback>
        <oleObject progId="Visio.Drawing.15" shapeId="2062" r:id="rId5"/>
      </mc:Fallback>
    </mc:AlternateContent>
  </oleObjects>
  <mc:AlternateContent xmlns:mc="http://schemas.openxmlformats.org/markup-compatibility/2006">
    <mc:Choice Requires="x14">
      <controls>
        <mc:AlternateContent xmlns:mc="http://schemas.openxmlformats.org/markup-compatibility/2006">
          <mc:Choice Requires="x14">
            <control shapeId="2075" r:id="rId7" name="Spinner 27">
              <controlPr defaultSize="0" autoPict="0">
                <anchor moveWithCells="1" sizeWithCells="1">
                  <from>
                    <xdr:col>9</xdr:col>
                    <xdr:colOff>133350</xdr:colOff>
                    <xdr:row>80</xdr:row>
                    <xdr:rowOff>152400</xdr:rowOff>
                  </from>
                  <to>
                    <xdr:col>9</xdr:col>
                    <xdr:colOff>304800</xdr:colOff>
                    <xdr:row>82</xdr:row>
                    <xdr:rowOff>66675</xdr:rowOff>
                  </to>
                </anchor>
              </controlPr>
            </control>
          </mc:Choice>
        </mc:AlternateContent>
        <mc:AlternateContent xmlns:mc="http://schemas.openxmlformats.org/markup-compatibility/2006">
          <mc:Choice Requires="x14">
            <control shapeId="2091" r:id="rId8" name="Drop Down 43">
              <controlPr defaultSize="0" autoLine="0" autoPict="0">
                <anchor>
                  <from>
                    <xdr:col>12</xdr:col>
                    <xdr:colOff>28575</xdr:colOff>
                    <xdr:row>89</xdr:row>
                    <xdr:rowOff>0</xdr:rowOff>
                  </from>
                  <to>
                    <xdr:col>14</xdr:col>
                    <xdr:colOff>190500</xdr:colOff>
                    <xdr:row>90</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F3D447B-A757-4EB2-AA47-816583436E12}">
          <x14:formula1>
            <xm:f>Calculations!$K$17:$K$19</xm:f>
          </x14:formula1>
          <xm:sqref>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3481-6ED4-4AF3-8CF3-D53A39A884D0}">
  <sheetPr codeName="Sheet6"/>
  <dimension ref="A1:AM47"/>
  <sheetViews>
    <sheetView workbookViewId="0">
      <selection activeCell="A126" sqref="A126"/>
    </sheetView>
  </sheetViews>
  <sheetFormatPr baseColWidth="10" defaultColWidth="9.140625" defaultRowHeight="14.25" x14ac:dyDescent="0.2"/>
  <cols>
    <col min="1" max="1" width="25.7109375" style="201" bestFit="1" customWidth="1"/>
    <col min="2" max="2" width="56.5703125" style="202" customWidth="1"/>
    <col min="3" max="11" width="9.140625" style="197"/>
    <col min="12" max="12" width="20.42578125" style="197" customWidth="1"/>
    <col min="13" max="16384" width="9.140625" style="197"/>
  </cols>
  <sheetData>
    <row r="1" spans="1:12" x14ac:dyDescent="0.2">
      <c r="A1" s="236"/>
      <c r="B1" s="236"/>
      <c r="C1" s="236"/>
      <c r="D1" s="236"/>
      <c r="E1" s="236"/>
      <c r="F1" s="236"/>
      <c r="G1" s="236"/>
      <c r="H1" s="236"/>
      <c r="I1" s="236"/>
      <c r="J1" s="236"/>
      <c r="K1" s="236"/>
      <c r="L1" s="236"/>
    </row>
    <row r="2" spans="1:12" x14ac:dyDescent="0.2">
      <c r="A2" s="236"/>
      <c r="B2" s="236"/>
      <c r="C2" s="236"/>
      <c r="D2" s="236"/>
      <c r="E2" s="236"/>
      <c r="F2" s="236"/>
      <c r="G2" s="236"/>
      <c r="H2" s="236"/>
      <c r="I2" s="236"/>
      <c r="J2" s="236"/>
      <c r="K2" s="236"/>
      <c r="L2" s="236"/>
    </row>
    <row r="3" spans="1:12" x14ac:dyDescent="0.2">
      <c r="A3" s="236"/>
      <c r="B3" s="236"/>
      <c r="C3" s="236"/>
      <c r="D3" s="236"/>
      <c r="E3" s="236"/>
      <c r="F3" s="236"/>
      <c r="G3" s="236"/>
      <c r="H3" s="236"/>
      <c r="I3" s="236"/>
      <c r="J3" s="236"/>
      <c r="K3" s="236"/>
      <c r="L3" s="236"/>
    </row>
    <row r="4" spans="1:12" x14ac:dyDescent="0.2">
      <c r="A4" s="237"/>
      <c r="B4" s="237"/>
      <c r="C4" s="237"/>
      <c r="D4" s="237"/>
      <c r="E4" s="237"/>
      <c r="F4" s="237"/>
      <c r="G4" s="237"/>
      <c r="H4" s="237"/>
      <c r="I4" s="237"/>
      <c r="J4" s="237"/>
      <c r="K4" s="237"/>
      <c r="L4" s="237"/>
    </row>
    <row r="5" spans="1:12" x14ac:dyDescent="0.2">
      <c r="A5" s="203" t="s">
        <v>709</v>
      </c>
      <c r="B5" s="204" t="s">
        <v>720</v>
      </c>
      <c r="C5" s="205"/>
      <c r="D5" s="205"/>
      <c r="E5" s="205"/>
      <c r="F5" s="205"/>
      <c r="G5" s="205"/>
      <c r="H5" s="205"/>
      <c r="I5" s="205"/>
      <c r="J5" s="205"/>
      <c r="K5" s="206"/>
      <c r="L5" s="207"/>
    </row>
    <row r="6" spans="1:12" x14ac:dyDescent="0.2">
      <c r="A6" s="203"/>
      <c r="B6" s="208"/>
      <c r="C6" s="205"/>
      <c r="D6" s="205"/>
      <c r="E6" s="205"/>
      <c r="F6" s="205"/>
      <c r="G6" s="205"/>
      <c r="H6" s="205"/>
      <c r="I6" s="205"/>
      <c r="J6" s="207"/>
      <c r="K6" s="207"/>
      <c r="L6" s="207"/>
    </row>
    <row r="35" spans="1:39" x14ac:dyDescent="0.2">
      <c r="A35" s="196" t="s">
        <v>710</v>
      </c>
      <c r="B35" s="209"/>
      <c r="C35" s="205"/>
      <c r="D35" s="205"/>
      <c r="E35" s="205"/>
      <c r="F35" s="205"/>
      <c r="G35" s="205"/>
      <c r="H35" s="205"/>
      <c r="I35" s="205"/>
      <c r="J35" s="205"/>
      <c r="K35" s="205"/>
    </row>
    <row r="36" spans="1:39" x14ac:dyDescent="0.2">
      <c r="A36" s="175" t="s">
        <v>711</v>
      </c>
      <c r="B36" s="238" t="s">
        <v>712</v>
      </c>
      <c r="C36" s="238"/>
      <c r="D36" s="238"/>
      <c r="E36" s="238"/>
      <c r="F36" s="238"/>
      <c r="G36" s="238"/>
      <c r="H36" s="238"/>
      <c r="I36" s="238"/>
      <c r="J36" s="238"/>
      <c r="K36" s="238"/>
    </row>
    <row r="37" spans="1:39" x14ac:dyDescent="0.2">
      <c r="A37" s="196" t="s">
        <v>713</v>
      </c>
      <c r="B37" s="239" t="s">
        <v>714</v>
      </c>
      <c r="C37" s="239"/>
      <c r="D37" s="239"/>
      <c r="E37" s="239"/>
      <c r="F37" s="239"/>
      <c r="G37" s="239"/>
      <c r="H37" s="239"/>
      <c r="I37" s="239"/>
      <c r="J37" s="239"/>
      <c r="K37" s="239"/>
    </row>
    <row r="38" spans="1:39" x14ac:dyDescent="0.2">
      <c r="A38" s="198" t="s">
        <v>720</v>
      </c>
      <c r="B38" s="240" t="s">
        <v>721</v>
      </c>
      <c r="C38" s="240"/>
      <c r="D38" s="240"/>
      <c r="E38" s="240"/>
      <c r="F38" s="240"/>
      <c r="G38" s="240"/>
      <c r="H38" s="240"/>
      <c r="I38" s="240"/>
      <c r="J38" s="240"/>
      <c r="K38" s="240"/>
    </row>
    <row r="39" spans="1:39" x14ac:dyDescent="0.2">
      <c r="A39" s="198"/>
      <c r="B39" s="199"/>
      <c r="C39" s="199"/>
      <c r="D39" s="199"/>
      <c r="E39" s="199"/>
      <c r="F39" s="199"/>
      <c r="G39" s="199"/>
      <c r="H39" s="199"/>
      <c r="I39" s="199"/>
      <c r="J39" s="199"/>
      <c r="K39" s="199"/>
    </row>
    <row r="40" spans="1:39" x14ac:dyDescent="0.2">
      <c r="A40" s="198"/>
      <c r="B40" s="199"/>
      <c r="C40" s="199"/>
      <c r="D40" s="199"/>
      <c r="E40" s="199"/>
      <c r="F40" s="199"/>
      <c r="G40" s="199"/>
      <c r="H40" s="199"/>
      <c r="I40" s="199"/>
      <c r="J40" s="199"/>
      <c r="K40" s="199"/>
    </row>
    <row r="41" spans="1:39" x14ac:dyDescent="0.2">
      <c r="A41" s="198"/>
      <c r="B41" s="199"/>
      <c r="C41" s="199"/>
      <c r="D41" s="199"/>
      <c r="E41" s="199"/>
      <c r="F41" s="199"/>
      <c r="G41" s="199"/>
      <c r="H41" s="199"/>
      <c r="I41" s="199"/>
      <c r="J41" s="199"/>
      <c r="K41" s="199"/>
    </row>
    <row r="42" spans="1:39" x14ac:dyDescent="0.2">
      <c r="A42" s="198"/>
      <c r="B42" s="199"/>
      <c r="C42" s="199"/>
      <c r="D42" s="199"/>
      <c r="E42" s="199"/>
      <c r="F42" s="199"/>
      <c r="G42" s="199"/>
      <c r="H42" s="199"/>
      <c r="I42" s="199"/>
      <c r="J42" s="199"/>
      <c r="K42" s="199"/>
    </row>
    <row r="43" spans="1:39" x14ac:dyDescent="0.2">
      <c r="A43" s="198"/>
      <c r="B43" s="199"/>
      <c r="C43" s="199"/>
      <c r="D43" s="199"/>
      <c r="E43" s="199"/>
      <c r="F43" s="199"/>
      <c r="G43" s="199"/>
      <c r="H43" s="199"/>
      <c r="I43" s="199"/>
      <c r="J43" s="199"/>
      <c r="K43" s="199"/>
    </row>
    <row r="44" spans="1:39" ht="15" x14ac:dyDescent="0.2">
      <c r="A44" s="198"/>
      <c r="B44" s="199"/>
      <c r="C44" s="199"/>
      <c r="D44" s="199"/>
      <c r="E44" s="199"/>
      <c r="F44" s="199"/>
      <c r="G44" s="199"/>
      <c r="H44" s="199"/>
      <c r="I44" s="199"/>
      <c r="J44" s="199"/>
      <c r="K44" s="199"/>
      <c r="L44" s="200"/>
      <c r="M44" s="200"/>
      <c r="N44" s="200"/>
      <c r="O44" s="200"/>
      <c r="P44" s="200"/>
      <c r="Q44" s="200"/>
      <c r="R44" s="200"/>
      <c r="S44" s="200"/>
      <c r="T44" s="200"/>
      <c r="U44" s="200"/>
      <c r="V44" s="200"/>
      <c r="W44" s="200"/>
      <c r="X44" s="200"/>
      <c r="Y44" s="200"/>
      <c r="Z44" s="200"/>
      <c r="AA44" s="200"/>
      <c r="AB44" s="200"/>
      <c r="AC44" s="200"/>
      <c r="AD44" s="200"/>
      <c r="AE44" s="200"/>
      <c r="AF44" s="200"/>
      <c r="AG44" s="200"/>
      <c r="AH44" s="200"/>
      <c r="AI44" s="200"/>
      <c r="AJ44" s="200"/>
      <c r="AK44" s="200"/>
      <c r="AL44" s="200"/>
      <c r="AM44" s="200"/>
    </row>
    <row r="45" spans="1:39" x14ac:dyDescent="0.2">
      <c r="A45" s="198"/>
      <c r="B45" s="199"/>
      <c r="C45" s="199"/>
      <c r="D45" s="199"/>
      <c r="E45" s="199"/>
      <c r="F45" s="199"/>
      <c r="G45" s="199"/>
      <c r="H45" s="199"/>
      <c r="I45" s="199"/>
      <c r="J45" s="199"/>
      <c r="K45" s="199"/>
    </row>
    <row r="46" spans="1:39" x14ac:dyDescent="0.2">
      <c r="A46" s="198"/>
      <c r="B46" s="199"/>
      <c r="C46" s="199"/>
      <c r="D46" s="199"/>
      <c r="E46" s="199"/>
      <c r="F46" s="199"/>
      <c r="G46" s="199"/>
      <c r="H46" s="199"/>
      <c r="I46" s="199"/>
      <c r="J46" s="199"/>
      <c r="K46" s="199"/>
    </row>
    <row r="47" spans="1:39" x14ac:dyDescent="0.2">
      <c r="A47" s="198"/>
      <c r="B47" s="199"/>
    </row>
  </sheetData>
  <sheetProtection algorithmName="SHA-512" hashValue="3gDwocgaDJWvZOua/gjEKjja+EzoarY1CuxpWEYUHMH6jrFjL3lgewiiiMYRa0kuGNKIZ/SXBxch41MMcDlagg==" saltValue="a98cEv7C8JfjLmtawczAag==" spinCount="100000" sheet="1" objects="1" scenarios="1" selectLockedCells="1"/>
  <mergeCells count="5">
    <mergeCell ref="A1:L3"/>
    <mergeCell ref="A4:L4"/>
    <mergeCell ref="B36:K36"/>
    <mergeCell ref="B37:K37"/>
    <mergeCell ref="B38:K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F80F0-21FE-4C29-A0A5-88E17C3F171F}">
  <sheetPr codeName="Sheet7"/>
  <dimension ref="A1:AW157"/>
  <sheetViews>
    <sheetView topLeftCell="AW7" workbookViewId="0">
      <selection activeCell="BF41" sqref="BF41"/>
    </sheetView>
  </sheetViews>
  <sheetFormatPr baseColWidth="10" defaultColWidth="9.140625" defaultRowHeight="15" x14ac:dyDescent="0.25"/>
  <cols>
    <col min="10" max="10" width="10" bestFit="1" customWidth="1"/>
    <col min="25" max="25" width="12" bestFit="1" customWidth="1"/>
    <col min="39" max="39" width="11" bestFit="1" customWidth="1"/>
    <col min="40" max="40" width="16.28515625" customWidth="1"/>
    <col min="41" max="41" width="11.7109375" customWidth="1"/>
    <col min="47" max="47" width="11.7109375" customWidth="1"/>
  </cols>
  <sheetData>
    <row r="1" spans="1:49" ht="27.75" x14ac:dyDescent="0.4">
      <c r="A1" s="245" t="s">
        <v>599</v>
      </c>
      <c r="B1" s="245"/>
      <c r="C1" s="245"/>
      <c r="D1" s="245"/>
      <c r="E1" s="245"/>
      <c r="F1" s="245"/>
      <c r="G1" s="245"/>
      <c r="H1" s="245"/>
      <c r="I1" s="245"/>
      <c r="J1" s="245"/>
      <c r="K1" s="245"/>
      <c r="L1" s="245"/>
      <c r="M1" s="245"/>
    </row>
    <row r="4" spans="1:49" ht="15.75" thickBot="1" x14ac:dyDescent="0.3">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row>
    <row r="5" spans="1:49" x14ac:dyDescent="0.25">
      <c r="R5" s="246" t="s">
        <v>600</v>
      </c>
      <c r="S5" s="247"/>
      <c r="T5" s="247"/>
      <c r="U5" s="248"/>
      <c r="V5" s="246" t="s">
        <v>262</v>
      </c>
      <c r="W5" s="247"/>
      <c r="X5" s="248"/>
      <c r="Y5" s="246" t="s">
        <v>601</v>
      </c>
      <c r="Z5" s="247"/>
      <c r="AA5" s="247"/>
      <c r="AB5" s="247"/>
      <c r="AC5" s="247"/>
      <c r="AD5" s="248"/>
      <c r="AE5" s="246" t="s">
        <v>602</v>
      </c>
      <c r="AF5" s="247"/>
      <c r="AG5" s="247"/>
      <c r="AH5" s="247"/>
      <c r="AI5" s="248"/>
      <c r="AJ5" s="246" t="s">
        <v>603</v>
      </c>
      <c r="AK5" s="247"/>
      <c r="AL5" s="247"/>
      <c r="AM5" s="247"/>
      <c r="AN5" s="249"/>
      <c r="AO5" s="248"/>
      <c r="AP5" s="241" t="s">
        <v>604</v>
      </c>
      <c r="AQ5" s="242"/>
      <c r="AR5" s="242"/>
      <c r="AS5" s="243"/>
      <c r="AT5" s="244"/>
      <c r="AU5" s="129" t="s">
        <v>605</v>
      </c>
      <c r="AV5" s="130"/>
      <c r="AW5" s="131"/>
    </row>
    <row r="6" spans="1:49" ht="18" x14ac:dyDescent="0.35">
      <c r="R6" s="132" t="s">
        <v>222</v>
      </c>
      <c r="S6" s="1" t="s">
        <v>223</v>
      </c>
      <c r="T6" s="1" t="s">
        <v>606</v>
      </c>
      <c r="U6" s="133" t="s">
        <v>607</v>
      </c>
      <c r="V6" s="132" t="s">
        <v>608</v>
      </c>
      <c r="W6" s="1" t="s">
        <v>609</v>
      </c>
      <c r="X6" s="133" t="s">
        <v>610</v>
      </c>
      <c r="Y6" s="132" t="s">
        <v>611</v>
      </c>
      <c r="Z6" s="1" t="s">
        <v>612</v>
      </c>
      <c r="AA6" s="1" t="s">
        <v>613</v>
      </c>
      <c r="AB6" s="134" t="s">
        <v>614</v>
      </c>
      <c r="AC6" s="134" t="s">
        <v>615</v>
      </c>
      <c r="AD6" s="135" t="s">
        <v>616</v>
      </c>
      <c r="AE6" s="132" t="s">
        <v>617</v>
      </c>
      <c r="AF6" s="1" t="s">
        <v>618</v>
      </c>
      <c r="AG6" s="134" t="s">
        <v>619</v>
      </c>
      <c r="AH6" s="134" t="s">
        <v>620</v>
      </c>
      <c r="AI6" s="135" t="s">
        <v>621</v>
      </c>
      <c r="AJ6" s="132" t="s">
        <v>622</v>
      </c>
      <c r="AK6" s="1" t="s">
        <v>623</v>
      </c>
      <c r="AL6" s="1" t="s">
        <v>624</v>
      </c>
      <c r="AM6" s="1" t="s">
        <v>625</v>
      </c>
      <c r="AN6" s="136" t="s">
        <v>626</v>
      </c>
      <c r="AO6" s="133" t="s">
        <v>627</v>
      </c>
      <c r="AP6" s="132" t="s">
        <v>628</v>
      </c>
      <c r="AQ6" s="137" t="s">
        <v>615</v>
      </c>
      <c r="AR6" s="137" t="s">
        <v>629</v>
      </c>
      <c r="AS6" s="1" t="s">
        <v>630</v>
      </c>
      <c r="AT6" s="133" t="s">
        <v>631</v>
      </c>
      <c r="AU6" s="132" t="s">
        <v>632</v>
      </c>
      <c r="AV6" s="1" t="s">
        <v>633</v>
      </c>
      <c r="AW6" s="133" t="s">
        <v>634</v>
      </c>
    </row>
    <row r="7" spans="1:49" x14ac:dyDescent="0.25">
      <c r="Q7">
        <v>0</v>
      </c>
      <c r="R7" s="132">
        <f t="shared" ref="R7:R70" si="0">VOUT</f>
        <v>18</v>
      </c>
      <c r="S7" s="1">
        <f t="shared" ref="S7:S70" si="1">Q7*$O$12</f>
        <v>0</v>
      </c>
      <c r="T7" s="1">
        <f t="shared" ref="T7:T38" si="2">Vin_vari</f>
        <v>12</v>
      </c>
      <c r="U7" s="133">
        <f>(R7*S7)/(T7*EFF_est)</f>
        <v>0</v>
      </c>
      <c r="V7" s="132">
        <f>IF(Calculations!$B$17=3,2,IF((S7*R7/T7)&lt;((T7*(1-(T7/R7)))/(2*Lm*fsw)),1,2))</f>
        <v>2</v>
      </c>
      <c r="W7" s="1">
        <f>CHOOSE(V7,SQRT((2*S7*Lm*fsw*(R7-T7))/((T7)^2)),1-(T7/R7))</f>
        <v>0.33333333333333337</v>
      </c>
      <c r="X7" s="133">
        <f t="shared" ref="X7:X38" si="3">CHOOSE(V7,(Lm*Z7*fsw)/(R7-T7),1-W7)</f>
        <v>0.66666666666666663</v>
      </c>
      <c r="Y7" s="132">
        <f t="shared" ref="Y7:Y38" si="4">(T7*W7)/(Lm*fsw)</f>
        <v>1.6</v>
      </c>
      <c r="Z7" s="1">
        <f>CHOOSE(V7,Y7,U7+(0.5*Y7))</f>
        <v>0.8</v>
      </c>
      <c r="AA7" s="1">
        <f>CHOOSE(V7,Z7*SQRT((W7+X7)/3),SQRT((U7^2)+((Y7^2)/12)))</f>
        <v>0.46188021535170065</v>
      </c>
      <c r="AB7" s="1">
        <v>0</v>
      </c>
      <c r="AC7" s="1">
        <f>(AA7^2)*Rdcr</f>
        <v>3.520000000000001E-3</v>
      </c>
      <c r="AD7" s="133">
        <f>AB7+AC7</f>
        <v>3.520000000000001E-3</v>
      </c>
      <c r="AE7" s="132">
        <f>U7*W7</f>
        <v>0</v>
      </c>
      <c r="AF7" s="1">
        <f>CHOOSE(V7,Z7*SQRT(W7/3),SQRT(W7*((Z7^2)+((Y7^2)/3)-(Z7*Y7))))</f>
        <v>0.26666666666666672</v>
      </c>
      <c r="AG7" s="1">
        <f t="shared" ref="AG7:AG38" si="5">(AF7^2)*RDS_on</f>
        <v>1.4222222222222227E-3</v>
      </c>
      <c r="AH7" s="1">
        <f>((R7*U7)/2)*fsw*(tr_sw+tf_sw)</f>
        <v>0</v>
      </c>
      <c r="AI7" s="133">
        <f>AG7+AH7</f>
        <v>1.4222222222222227E-3</v>
      </c>
      <c r="AJ7" s="132">
        <f>X7*U7</f>
        <v>0</v>
      </c>
      <c r="AK7" s="1">
        <f>CHOOSE(V7,Z7*SQRT(X7/3),SQRT(X7*((Z7^2)+((Y7^2)/3)-(Y7*Z7))))</f>
        <v>0.3771236166328254</v>
      </c>
      <c r="AL7" s="1">
        <f t="shared" ref="AL7:AL38" si="6">(AK7^2)*RDS_on_HS</f>
        <v>2.844444444444445E-3</v>
      </c>
      <c r="AM7" s="1">
        <f>CHOOSE(V7,0,(R7+Vd_rect)*Qrr*fsw)</f>
        <v>0.15427500000000002</v>
      </c>
      <c r="AN7" s="136">
        <f>Vd_rect*t_dead*fsw*Z7</f>
        <v>1.1200000000000002E-2</v>
      </c>
      <c r="AO7" s="133">
        <f>AL7+AM7+AN7</f>
        <v>0.16831944444444447</v>
      </c>
      <c r="AP7" s="132">
        <f t="shared" ref="AP7:AP38" si="7">(AA7^2)*Rcs</f>
        <v>1.3973333333333335E-3</v>
      </c>
      <c r="AQ7" s="137">
        <f t="shared" ref="AQ7:AQ38" si="8">Rdcr*AA7^2</f>
        <v>3.520000000000001E-3</v>
      </c>
      <c r="AR7" s="137">
        <f t="shared" ref="AR7:AR38" si="9">ABS(7.759*10^-3*fsw^0.9458*(0.00787*Y7)^2.304)</f>
        <v>4.147588250013759E-2</v>
      </c>
      <c r="AS7" s="1">
        <f t="shared" ref="AS7:AS38" si="10">(Qg_tot+Qg_tot_HS)*VCC*fsw</f>
        <v>5.9279999999999999E-2</v>
      </c>
      <c r="AT7" s="133">
        <f>IQ*T7</f>
        <v>4.8000000000000001E-2</v>
      </c>
      <c r="AU7" s="132">
        <f>AP7+AO7+AI7+AD7+AS7+AT7+AQ7+AR7</f>
        <v>0.32693488250013758</v>
      </c>
      <c r="AV7" s="1">
        <f>R7*S7</f>
        <v>0</v>
      </c>
      <c r="AW7" s="133">
        <f>(AV7/(AV7+AU7))*100</f>
        <v>0</v>
      </c>
    </row>
    <row r="8" spans="1:49" x14ac:dyDescent="0.25">
      <c r="M8">
        <f>fsw</f>
        <v>250000</v>
      </c>
      <c r="Q8">
        <v>1</v>
      </c>
      <c r="R8" s="132">
        <f t="shared" si="0"/>
        <v>18</v>
      </c>
      <c r="S8" s="1">
        <f t="shared" si="1"/>
        <v>3.3333333333333333E-2</v>
      </c>
      <c r="T8" s="1">
        <f t="shared" si="2"/>
        <v>12</v>
      </c>
      <c r="U8" s="133">
        <f t="shared" ref="U8:U38" si="11">(R8*S8)/(T8*EFF_est)</f>
        <v>4.9999999999999996E-2</v>
      </c>
      <c r="V8" s="132">
        <f>IF(Calculations!$B$17=3,2,IF((S8*R8/T8)&lt;((T8*(1-(T8/R8)))/(2*Lm*fsw)),1,2))</f>
        <v>2</v>
      </c>
      <c r="W8" s="1">
        <f t="shared" ref="W8:W38" si="12">CHOOSE(V8,SQRT((2*S8*Lm*fsw*(R8-T8))/((T8)^2)),1-(T8/R8))</f>
        <v>0.33333333333333337</v>
      </c>
      <c r="X8" s="133">
        <f t="shared" si="3"/>
        <v>0.66666666666666663</v>
      </c>
      <c r="Y8" s="132">
        <f t="shared" si="4"/>
        <v>1.6</v>
      </c>
      <c r="Z8" s="1">
        <f t="shared" ref="Z8:Z71" si="13">CHOOSE(V8,Y8,U8+(0.5*Y8))</f>
        <v>0.85000000000000009</v>
      </c>
      <c r="AA8" s="1">
        <f t="shared" ref="AA8:AA71" si="14">CHOOSE(V8,Z8*SQRT((W8+X8)/3),SQRT((U8^2)+((Y8^2)/12)))</f>
        <v>0.4645786621588785</v>
      </c>
      <c r="AB8" s="1">
        <v>0</v>
      </c>
      <c r="AC8" s="1">
        <f t="shared" ref="AC8:AC38" si="15">(AA8^2)*Rdcr</f>
        <v>3.561250000000001E-3</v>
      </c>
      <c r="AD8" s="133">
        <f t="shared" ref="AD8:AD71" si="16">AB8+AC8</f>
        <v>3.561250000000001E-3</v>
      </c>
      <c r="AE8" s="132">
        <f>U8*W8</f>
        <v>1.6666666666666666E-2</v>
      </c>
      <c r="AF8" s="1">
        <f t="shared" ref="AF8:AF71" si="17">CHOOSE(V8,Z8*SQRT(W8/3),SQRT(W8*((Z8^2)+((Y8^2)/3)-(Z8*Y8))))</f>
        <v>0.2682246156571847</v>
      </c>
      <c r="AG8" s="1">
        <f t="shared" si="5"/>
        <v>1.4388888888888891E-3</v>
      </c>
      <c r="AH8" s="1">
        <f t="shared" ref="AH8:AH38" si="18">((R8*U8)/2)*fsw*(tr_sw+tf_sw)</f>
        <v>2.8539109837567955E-3</v>
      </c>
      <c r="AI8" s="133">
        <f t="shared" ref="AI8:AI71" si="19">AG8+AH8</f>
        <v>4.2927998726456848E-3</v>
      </c>
      <c r="AJ8" s="132">
        <f t="shared" ref="AJ8:AJ71" si="20">X8*U8</f>
        <v>3.3333333333333326E-2</v>
      </c>
      <c r="AK8" s="1">
        <f t="shared" ref="AK8:AK71" si="21">CHOOSE(V8,Z8*SQRT(X8/3),SQRT(X8*((Z8^2)+((Y8^2)/3)-(Y8*Z8))))</f>
        <v>0.37932688922470137</v>
      </c>
      <c r="AL8" s="1">
        <f t="shared" si="6"/>
        <v>2.8777777777777773E-3</v>
      </c>
      <c r="AM8" s="1">
        <f t="shared" ref="AM8:AM39" si="22">CHOOSE(V8,(R8+Vd_rect)*Qrr*fsw,(R8+Vd_rect)*Qrr*fsw)</f>
        <v>0.15427500000000002</v>
      </c>
      <c r="AN8" s="136">
        <f>Vd_rect*t_dead*fsw*Z8</f>
        <v>1.1900000000000001E-2</v>
      </c>
      <c r="AO8" s="133">
        <f t="shared" ref="AO8:AO71" si="23">AL8+AM8+AN8</f>
        <v>0.1690527777777778</v>
      </c>
      <c r="AP8" s="132">
        <f t="shared" si="7"/>
        <v>1.4137083333333334E-3</v>
      </c>
      <c r="AQ8" s="137">
        <f t="shared" si="8"/>
        <v>3.561250000000001E-3</v>
      </c>
      <c r="AR8" s="137">
        <f t="shared" si="9"/>
        <v>4.147588250013759E-2</v>
      </c>
      <c r="AS8" s="1">
        <f t="shared" si="10"/>
        <v>5.9279999999999999E-2</v>
      </c>
      <c r="AT8" s="133">
        <f t="shared" ref="AT8:AT38" si="24">IQ*T8</f>
        <v>4.8000000000000001E-2</v>
      </c>
      <c r="AU8" s="132">
        <f t="shared" ref="AU8:AU71" si="25">AP8+AO8+AI8+AD8+AS8+AT8+AQ8+AR8</f>
        <v>0.33063766848389442</v>
      </c>
      <c r="AV8" s="1">
        <f t="shared" ref="AV8:AV71" si="26">R8*S8</f>
        <v>0.6</v>
      </c>
      <c r="AW8" s="133">
        <f t="shared" ref="AW8:AW71" si="27">(AV8/(AV8+AU8))*100</f>
        <v>64.471922888900721</v>
      </c>
    </row>
    <row r="9" spans="1:49" x14ac:dyDescent="0.25">
      <c r="N9" s="1" t="s">
        <v>451</v>
      </c>
      <c r="O9" s="1">
        <f>Vin_vari</f>
        <v>12</v>
      </c>
      <c r="P9" t="s">
        <v>34</v>
      </c>
      <c r="Q9">
        <v>2</v>
      </c>
      <c r="R9" s="132">
        <f t="shared" si="0"/>
        <v>18</v>
      </c>
      <c r="S9" s="1">
        <f t="shared" si="1"/>
        <v>6.6666666666666666E-2</v>
      </c>
      <c r="T9" s="1">
        <f t="shared" si="2"/>
        <v>12</v>
      </c>
      <c r="U9" s="133">
        <f t="shared" si="11"/>
        <v>9.9999999999999992E-2</v>
      </c>
      <c r="V9" s="132">
        <f>IF(Calculations!$B$17=3,2,IF((S9*R9/T9)&lt;((T9*(1-(T9/R9)))/(2*Lm*fsw)),1,2))</f>
        <v>2</v>
      </c>
      <c r="W9" s="1">
        <f t="shared" si="12"/>
        <v>0.33333333333333337</v>
      </c>
      <c r="X9" s="133">
        <f t="shared" si="3"/>
        <v>0.66666666666666663</v>
      </c>
      <c r="Y9" s="132">
        <f t="shared" si="4"/>
        <v>1.6</v>
      </c>
      <c r="Z9" s="1">
        <f t="shared" si="13"/>
        <v>0.9</v>
      </c>
      <c r="AA9" s="1">
        <f t="shared" si="14"/>
        <v>0.47258156262526091</v>
      </c>
      <c r="AB9" s="1">
        <v>0</v>
      </c>
      <c r="AC9" s="1">
        <f t="shared" si="15"/>
        <v>3.6850000000000016E-3</v>
      </c>
      <c r="AD9" s="133">
        <f t="shared" si="16"/>
        <v>3.6850000000000016E-3</v>
      </c>
      <c r="AE9" s="132">
        <f t="shared" ref="AE9:AE72" si="28">U9*W9</f>
        <v>3.3333333333333333E-2</v>
      </c>
      <c r="AF9" s="1">
        <f t="shared" si="17"/>
        <v>0.27284509239574839</v>
      </c>
      <c r="AG9" s="1">
        <f t="shared" si="5"/>
        <v>1.4888888888888896E-3</v>
      </c>
      <c r="AH9" s="1">
        <f t="shared" si="18"/>
        <v>5.707821967513591E-3</v>
      </c>
      <c r="AI9" s="133">
        <f t="shared" si="19"/>
        <v>7.1967108564024804E-3</v>
      </c>
      <c r="AJ9" s="132">
        <f t="shared" si="20"/>
        <v>6.6666666666666652E-2</v>
      </c>
      <c r="AK9" s="1">
        <f t="shared" si="21"/>
        <v>0.38586123009300755</v>
      </c>
      <c r="AL9" s="1">
        <f t="shared" si="6"/>
        <v>2.977777777777778E-3</v>
      </c>
      <c r="AM9" s="1">
        <f t="shared" si="22"/>
        <v>0.15427500000000002</v>
      </c>
      <c r="AN9" s="136">
        <f t="shared" ref="AN9:AN38" si="29">Vd_rect*t_dead*fsw*Z9</f>
        <v>1.26E-2</v>
      </c>
      <c r="AO9" s="133">
        <f t="shared" si="23"/>
        <v>0.1698527777777778</v>
      </c>
      <c r="AP9" s="132">
        <f t="shared" si="7"/>
        <v>1.4628333333333338E-3</v>
      </c>
      <c r="AQ9" s="137">
        <f t="shared" si="8"/>
        <v>3.6850000000000016E-3</v>
      </c>
      <c r="AR9" s="137">
        <f t="shared" si="9"/>
        <v>4.147588250013759E-2</v>
      </c>
      <c r="AS9" s="1">
        <f t="shared" si="10"/>
        <v>5.9279999999999999E-2</v>
      </c>
      <c r="AT9" s="133">
        <f t="shared" si="24"/>
        <v>4.8000000000000001E-2</v>
      </c>
      <c r="AU9" s="132">
        <f t="shared" si="25"/>
        <v>0.33463820446765113</v>
      </c>
      <c r="AV9" s="1">
        <f t="shared" si="26"/>
        <v>1.2</v>
      </c>
      <c r="AW9" s="133">
        <f t="shared" si="27"/>
        <v>78.194325965986664</v>
      </c>
    </row>
    <row r="10" spans="1:49" x14ac:dyDescent="0.25">
      <c r="N10" s="1"/>
      <c r="O10" s="1"/>
      <c r="Q10">
        <v>3</v>
      </c>
      <c r="R10" s="132">
        <f t="shared" si="0"/>
        <v>18</v>
      </c>
      <c r="S10" s="1">
        <f t="shared" si="1"/>
        <v>0.1</v>
      </c>
      <c r="T10" s="1">
        <f t="shared" si="2"/>
        <v>12</v>
      </c>
      <c r="U10" s="133">
        <f t="shared" si="11"/>
        <v>0.15</v>
      </c>
      <c r="V10" s="132">
        <f>IF(Calculations!$B$17=3,2,IF((S10*R10/T10)&lt;((T10*(1-(T10/R10)))/(2*Lm*fsw)),1,2))</f>
        <v>2</v>
      </c>
      <c r="W10" s="1">
        <f t="shared" si="12"/>
        <v>0.33333333333333337</v>
      </c>
      <c r="X10" s="133">
        <f t="shared" si="3"/>
        <v>0.66666666666666663</v>
      </c>
      <c r="Y10" s="132">
        <f t="shared" si="4"/>
        <v>1.6</v>
      </c>
      <c r="Z10" s="1">
        <f t="shared" si="13"/>
        <v>0.95000000000000007</v>
      </c>
      <c r="AA10" s="1">
        <f t="shared" si="14"/>
        <v>0.48562674281111556</v>
      </c>
      <c r="AB10" s="1">
        <v>0</v>
      </c>
      <c r="AC10" s="1">
        <f t="shared" si="15"/>
        <v>3.891250000000001E-3</v>
      </c>
      <c r="AD10" s="133">
        <f t="shared" si="16"/>
        <v>3.891250000000001E-3</v>
      </c>
      <c r="AE10" s="132">
        <f t="shared" si="28"/>
        <v>0.05</v>
      </c>
      <c r="AF10" s="1">
        <f t="shared" si="17"/>
        <v>0.28037673068767871</v>
      </c>
      <c r="AG10" s="1">
        <f t="shared" si="5"/>
        <v>1.5722222222222225E-3</v>
      </c>
      <c r="AH10" s="1">
        <f t="shared" si="18"/>
        <v>8.5617329512703861E-3</v>
      </c>
      <c r="AI10" s="133">
        <f t="shared" si="19"/>
        <v>1.0133955173492609E-2</v>
      </c>
      <c r="AJ10" s="132">
        <f t="shared" si="20"/>
        <v>9.9999999999999992E-2</v>
      </c>
      <c r="AK10" s="1">
        <f t="shared" si="21"/>
        <v>0.39651257511234395</v>
      </c>
      <c r="AL10" s="1">
        <f t="shared" si="6"/>
        <v>3.1444444444444441E-3</v>
      </c>
      <c r="AM10" s="1">
        <f t="shared" si="22"/>
        <v>0.15427500000000002</v>
      </c>
      <c r="AN10" s="136">
        <f t="shared" si="29"/>
        <v>1.3300000000000001E-2</v>
      </c>
      <c r="AO10" s="133">
        <f t="shared" si="23"/>
        <v>0.17071944444444448</v>
      </c>
      <c r="AP10" s="132">
        <f t="shared" si="7"/>
        <v>1.5447083333333337E-3</v>
      </c>
      <c r="AQ10" s="137">
        <f t="shared" si="8"/>
        <v>3.891250000000001E-3</v>
      </c>
      <c r="AR10" s="137">
        <f t="shared" si="9"/>
        <v>4.147588250013759E-2</v>
      </c>
      <c r="AS10" s="1">
        <f t="shared" si="10"/>
        <v>5.9279999999999999E-2</v>
      </c>
      <c r="AT10" s="133">
        <f t="shared" si="24"/>
        <v>4.8000000000000001E-2</v>
      </c>
      <c r="AU10" s="132">
        <f t="shared" si="25"/>
        <v>0.33893649045140806</v>
      </c>
      <c r="AV10" s="1">
        <f t="shared" si="26"/>
        <v>1.8</v>
      </c>
      <c r="AW10" s="133">
        <f t="shared" si="27"/>
        <v>84.153971285988121</v>
      </c>
    </row>
    <row r="11" spans="1:49" x14ac:dyDescent="0.25">
      <c r="N11" s="1" t="s">
        <v>258</v>
      </c>
      <c r="O11" s="1">
        <v>150</v>
      </c>
      <c r="Q11">
        <v>4</v>
      </c>
      <c r="R11" s="132">
        <f t="shared" si="0"/>
        <v>18</v>
      </c>
      <c r="S11" s="1">
        <f t="shared" si="1"/>
        <v>0.13333333333333333</v>
      </c>
      <c r="T11" s="1">
        <f t="shared" si="2"/>
        <v>12</v>
      </c>
      <c r="U11" s="133">
        <f t="shared" si="11"/>
        <v>0.19999999999999998</v>
      </c>
      <c r="V11" s="132">
        <f>IF(Calculations!$B$17=3,2,IF((S11*R11/T11)&lt;((T11*(1-(T11/R11)))/(2*Lm*fsw)),1,2))</f>
        <v>2</v>
      </c>
      <c r="W11" s="1">
        <f t="shared" si="12"/>
        <v>0.33333333333333337</v>
      </c>
      <c r="X11" s="133">
        <f t="shared" si="3"/>
        <v>0.66666666666666663</v>
      </c>
      <c r="Y11" s="132">
        <f t="shared" si="4"/>
        <v>1.6</v>
      </c>
      <c r="Z11" s="1">
        <f t="shared" si="13"/>
        <v>1</v>
      </c>
      <c r="AA11" s="1">
        <f t="shared" si="14"/>
        <v>0.50332229568471665</v>
      </c>
      <c r="AB11" s="1">
        <v>0</v>
      </c>
      <c r="AC11" s="1">
        <f t="shared" si="15"/>
        <v>4.1800000000000006E-3</v>
      </c>
      <c r="AD11" s="133">
        <f t="shared" si="16"/>
        <v>4.1800000000000006E-3</v>
      </c>
      <c r="AE11" s="132">
        <f t="shared" si="28"/>
        <v>6.6666666666666666E-2</v>
      </c>
      <c r="AF11" s="1">
        <f t="shared" si="17"/>
        <v>0.29059326290271165</v>
      </c>
      <c r="AG11" s="1">
        <f t="shared" si="5"/>
        <v>1.6888888888888897E-3</v>
      </c>
      <c r="AH11" s="1">
        <f t="shared" si="18"/>
        <v>1.1415643935027182E-2</v>
      </c>
      <c r="AI11" s="133">
        <f t="shared" si="19"/>
        <v>1.3104532823916071E-2</v>
      </c>
      <c r="AJ11" s="132">
        <f t="shared" si="20"/>
        <v>0.1333333333333333</v>
      </c>
      <c r="AK11" s="1">
        <f t="shared" si="21"/>
        <v>0.41096093353126512</v>
      </c>
      <c r="AL11" s="1">
        <f t="shared" si="6"/>
        <v>3.3777777777777782E-3</v>
      </c>
      <c r="AM11" s="1">
        <f t="shared" si="22"/>
        <v>0.15427500000000002</v>
      </c>
      <c r="AN11" s="136">
        <f t="shared" si="29"/>
        <v>1.4E-2</v>
      </c>
      <c r="AO11" s="133">
        <f t="shared" si="23"/>
        <v>0.17165277777777782</v>
      </c>
      <c r="AP11" s="132">
        <f t="shared" si="7"/>
        <v>1.6593333333333334E-3</v>
      </c>
      <c r="AQ11" s="137">
        <f t="shared" si="8"/>
        <v>4.1800000000000006E-3</v>
      </c>
      <c r="AR11" s="137">
        <f t="shared" si="9"/>
        <v>4.147588250013759E-2</v>
      </c>
      <c r="AS11" s="1">
        <f t="shared" si="10"/>
        <v>5.9279999999999999E-2</v>
      </c>
      <c r="AT11" s="133">
        <f t="shared" si="24"/>
        <v>4.8000000000000001E-2</v>
      </c>
      <c r="AU11" s="132">
        <f t="shared" si="25"/>
        <v>0.34353252643516485</v>
      </c>
      <c r="AV11" s="1">
        <f t="shared" si="26"/>
        <v>2.4</v>
      </c>
      <c r="AW11" s="133">
        <f t="shared" si="27"/>
        <v>87.478459864241614</v>
      </c>
    </row>
    <row r="12" spans="1:49" x14ac:dyDescent="0.25">
      <c r="N12" s="1" t="s">
        <v>635</v>
      </c>
      <c r="O12" s="1">
        <f>IOUT/(O11)</f>
        <v>3.3333333333333333E-2</v>
      </c>
      <c r="Q12">
        <v>5</v>
      </c>
      <c r="R12" s="132">
        <f t="shared" si="0"/>
        <v>18</v>
      </c>
      <c r="S12" s="1">
        <f t="shared" si="1"/>
        <v>0.16666666666666666</v>
      </c>
      <c r="T12" s="1">
        <f t="shared" si="2"/>
        <v>12</v>
      </c>
      <c r="U12" s="133">
        <f t="shared" si="11"/>
        <v>0.25</v>
      </c>
      <c r="V12" s="132">
        <f>IF(Calculations!$B$17=3,2,IF((S12*R12/T12)&lt;((T12*(1-(T12/R12)))/(2*Lm*fsw)),1,2))</f>
        <v>2</v>
      </c>
      <c r="W12" s="1">
        <f t="shared" si="12"/>
        <v>0.33333333333333337</v>
      </c>
      <c r="X12" s="133">
        <f t="shared" si="3"/>
        <v>0.66666666666666663</v>
      </c>
      <c r="Y12" s="132">
        <f t="shared" si="4"/>
        <v>1.6</v>
      </c>
      <c r="Z12" s="1">
        <f t="shared" si="13"/>
        <v>1.05</v>
      </c>
      <c r="AA12" s="1">
        <f t="shared" si="14"/>
        <v>0.52519837521962442</v>
      </c>
      <c r="AB12" s="1">
        <v>0</v>
      </c>
      <c r="AC12" s="1">
        <f t="shared" si="15"/>
        <v>4.5512500000000015E-3</v>
      </c>
      <c r="AD12" s="133">
        <f t="shared" si="16"/>
        <v>4.5512500000000015E-3</v>
      </c>
      <c r="AE12" s="132">
        <f t="shared" si="28"/>
        <v>8.3333333333333343E-2</v>
      </c>
      <c r="AF12" s="1">
        <f t="shared" si="17"/>
        <v>0.30322342331100421</v>
      </c>
      <c r="AG12" s="1">
        <f t="shared" si="5"/>
        <v>1.838888888888889E-3</v>
      </c>
      <c r="AH12" s="1">
        <f t="shared" si="18"/>
        <v>1.426955491878398E-2</v>
      </c>
      <c r="AI12" s="133">
        <f t="shared" si="19"/>
        <v>1.610844380767287E-2</v>
      </c>
      <c r="AJ12" s="132">
        <f t="shared" si="20"/>
        <v>0.16666666666666666</v>
      </c>
      <c r="AK12" s="1">
        <f t="shared" si="21"/>
        <v>0.42882267767562027</v>
      </c>
      <c r="AL12" s="1">
        <f t="shared" si="6"/>
        <v>3.6777777777777781E-3</v>
      </c>
      <c r="AM12" s="1">
        <f t="shared" si="22"/>
        <v>0.15427500000000002</v>
      </c>
      <c r="AN12" s="136">
        <f t="shared" si="29"/>
        <v>1.4700000000000001E-2</v>
      </c>
      <c r="AO12" s="133">
        <f t="shared" si="23"/>
        <v>0.17265277777777779</v>
      </c>
      <c r="AP12" s="132">
        <f t="shared" si="7"/>
        <v>1.8067083333333338E-3</v>
      </c>
      <c r="AQ12" s="137">
        <f t="shared" si="8"/>
        <v>4.5512500000000015E-3</v>
      </c>
      <c r="AR12" s="137">
        <f t="shared" si="9"/>
        <v>4.147588250013759E-2</v>
      </c>
      <c r="AS12" s="1">
        <f t="shared" si="10"/>
        <v>5.9279999999999999E-2</v>
      </c>
      <c r="AT12" s="133">
        <f t="shared" si="24"/>
        <v>4.8000000000000001E-2</v>
      </c>
      <c r="AU12" s="132">
        <f t="shared" si="25"/>
        <v>0.34842631241892164</v>
      </c>
      <c r="AV12" s="1">
        <f t="shared" si="26"/>
        <v>3</v>
      </c>
      <c r="AW12" s="133">
        <f t="shared" si="27"/>
        <v>89.594326411584774</v>
      </c>
    </row>
    <row r="13" spans="1:49" x14ac:dyDescent="0.25">
      <c r="Q13">
        <v>6</v>
      </c>
      <c r="R13" s="132">
        <f t="shared" si="0"/>
        <v>18</v>
      </c>
      <c r="S13" s="1">
        <f t="shared" si="1"/>
        <v>0.2</v>
      </c>
      <c r="T13" s="1">
        <f t="shared" si="2"/>
        <v>12</v>
      </c>
      <c r="U13" s="133">
        <f t="shared" si="11"/>
        <v>0.3</v>
      </c>
      <c r="V13" s="132">
        <f>IF(Calculations!$B$17=3,2,IF((S13*R13/T13)&lt;((T13*(1-(T13/R13)))/(2*Lm*fsw)),1,2))</f>
        <v>2</v>
      </c>
      <c r="W13" s="1">
        <f t="shared" si="12"/>
        <v>0.33333333333333337</v>
      </c>
      <c r="X13" s="133">
        <f t="shared" si="3"/>
        <v>0.66666666666666663</v>
      </c>
      <c r="Y13" s="132">
        <f t="shared" si="4"/>
        <v>1.6</v>
      </c>
      <c r="Z13" s="1">
        <f t="shared" si="13"/>
        <v>1.1000000000000001</v>
      </c>
      <c r="AA13" s="1">
        <f t="shared" si="14"/>
        <v>0.55075705472861025</v>
      </c>
      <c r="AB13" s="1">
        <v>0</v>
      </c>
      <c r="AC13" s="1">
        <f t="shared" si="15"/>
        <v>5.0050000000000016E-3</v>
      </c>
      <c r="AD13" s="133">
        <f t="shared" si="16"/>
        <v>5.0050000000000016E-3</v>
      </c>
      <c r="AE13" s="132">
        <f t="shared" si="28"/>
        <v>0.1</v>
      </c>
      <c r="AF13" s="1">
        <f t="shared" si="17"/>
        <v>0.31797973380564848</v>
      </c>
      <c r="AG13" s="1">
        <f t="shared" si="5"/>
        <v>2.0222222222222213E-3</v>
      </c>
      <c r="AH13" s="1">
        <f t="shared" si="18"/>
        <v>1.7123465902540772E-2</v>
      </c>
      <c r="AI13" s="133">
        <f t="shared" si="19"/>
        <v>1.9145688124762993E-2</v>
      </c>
      <c r="AJ13" s="132">
        <f t="shared" si="20"/>
        <v>0.19999999999999998</v>
      </c>
      <c r="AK13" s="1">
        <f t="shared" si="21"/>
        <v>0.44969125210773464</v>
      </c>
      <c r="AL13" s="1">
        <f t="shared" si="6"/>
        <v>4.0444444444444434E-3</v>
      </c>
      <c r="AM13" s="1">
        <f t="shared" si="22"/>
        <v>0.15427500000000002</v>
      </c>
      <c r="AN13" s="136">
        <f t="shared" si="29"/>
        <v>1.5400000000000002E-2</v>
      </c>
      <c r="AO13" s="133">
        <f t="shared" si="23"/>
        <v>0.17371944444444445</v>
      </c>
      <c r="AP13" s="132">
        <f t="shared" si="7"/>
        <v>1.9868333333333335E-3</v>
      </c>
      <c r="AQ13" s="137">
        <f t="shared" si="8"/>
        <v>5.0050000000000016E-3</v>
      </c>
      <c r="AR13" s="137">
        <f t="shared" si="9"/>
        <v>4.147588250013759E-2</v>
      </c>
      <c r="AS13" s="1">
        <f t="shared" si="10"/>
        <v>5.9279999999999999E-2</v>
      </c>
      <c r="AT13" s="133">
        <f t="shared" si="24"/>
        <v>4.8000000000000001E-2</v>
      </c>
      <c r="AU13" s="132">
        <f t="shared" si="25"/>
        <v>0.35361784840267829</v>
      </c>
      <c r="AV13" s="1">
        <f t="shared" si="26"/>
        <v>3.6</v>
      </c>
      <c r="AW13" s="133">
        <f t="shared" si="27"/>
        <v>91.055841460611958</v>
      </c>
    </row>
    <row r="14" spans="1:49" x14ac:dyDescent="0.25">
      <c r="Q14">
        <v>7</v>
      </c>
      <c r="R14" s="132">
        <f t="shared" si="0"/>
        <v>18</v>
      </c>
      <c r="S14" s="1">
        <f t="shared" si="1"/>
        <v>0.23333333333333334</v>
      </c>
      <c r="T14" s="1">
        <f t="shared" si="2"/>
        <v>12</v>
      </c>
      <c r="U14" s="133">
        <f t="shared" si="11"/>
        <v>0.35000000000000003</v>
      </c>
      <c r="V14" s="132">
        <f>IF(Calculations!$B$17=3,2,IF((S14*R14/T14)&lt;((T14*(1-(T14/R14)))/(2*Lm*fsw)),1,2))</f>
        <v>2</v>
      </c>
      <c r="W14" s="1">
        <f t="shared" si="12"/>
        <v>0.33333333333333337</v>
      </c>
      <c r="X14" s="133">
        <f t="shared" si="3"/>
        <v>0.66666666666666663</v>
      </c>
      <c r="Y14" s="132">
        <f t="shared" si="4"/>
        <v>1.6</v>
      </c>
      <c r="Z14" s="1">
        <f t="shared" si="13"/>
        <v>1.1500000000000001</v>
      </c>
      <c r="AA14" s="1">
        <f t="shared" si="14"/>
        <v>0.57951128835712373</v>
      </c>
      <c r="AB14" s="1">
        <v>0</v>
      </c>
      <c r="AC14" s="1">
        <f t="shared" si="15"/>
        <v>5.5412500000000019E-3</v>
      </c>
      <c r="AD14" s="133">
        <f t="shared" si="16"/>
        <v>5.5412500000000019E-3</v>
      </c>
      <c r="AE14" s="132">
        <f t="shared" si="28"/>
        <v>0.1166666666666667</v>
      </c>
      <c r="AF14" s="1">
        <f t="shared" si="17"/>
        <v>0.33458099833141225</v>
      </c>
      <c r="AG14" s="1">
        <f t="shared" si="5"/>
        <v>2.2388888888888897E-3</v>
      </c>
      <c r="AH14" s="1">
        <f t="shared" si="18"/>
        <v>1.9977376886297575E-2</v>
      </c>
      <c r="AI14" s="133">
        <f t="shared" si="19"/>
        <v>2.2216265775186466E-2</v>
      </c>
      <c r="AJ14" s="132">
        <f t="shared" si="20"/>
        <v>0.23333333333333334</v>
      </c>
      <c r="AK14" s="1">
        <f t="shared" si="21"/>
        <v>0.47316898555261305</v>
      </c>
      <c r="AL14" s="1">
        <f t="shared" si="6"/>
        <v>4.4777777777777793E-3</v>
      </c>
      <c r="AM14" s="1">
        <f t="shared" si="22"/>
        <v>0.15427500000000002</v>
      </c>
      <c r="AN14" s="136">
        <f t="shared" si="29"/>
        <v>1.6100000000000003E-2</v>
      </c>
      <c r="AO14" s="133">
        <f t="shared" si="23"/>
        <v>0.1748527777777778</v>
      </c>
      <c r="AP14" s="132">
        <f t="shared" si="7"/>
        <v>2.1997083333333339E-3</v>
      </c>
      <c r="AQ14" s="137">
        <f t="shared" si="8"/>
        <v>5.5412500000000019E-3</v>
      </c>
      <c r="AR14" s="137">
        <f t="shared" si="9"/>
        <v>4.147588250013759E-2</v>
      </c>
      <c r="AS14" s="1">
        <f t="shared" si="10"/>
        <v>5.9279999999999999E-2</v>
      </c>
      <c r="AT14" s="133">
        <f t="shared" si="24"/>
        <v>4.8000000000000001E-2</v>
      </c>
      <c r="AU14" s="132">
        <f t="shared" si="25"/>
        <v>0.35910713438643516</v>
      </c>
      <c r="AV14" s="1">
        <f t="shared" si="26"/>
        <v>4.2</v>
      </c>
      <c r="AW14" s="133">
        <f t="shared" si="27"/>
        <v>92.123301256118353</v>
      </c>
    </row>
    <row r="15" spans="1:49" x14ac:dyDescent="0.25">
      <c r="O15">
        <f>0.205*2.5/(Lm*fsw)</f>
        <v>0.20499999999999999</v>
      </c>
      <c r="Q15">
        <v>8</v>
      </c>
      <c r="R15" s="132">
        <f t="shared" si="0"/>
        <v>18</v>
      </c>
      <c r="S15" s="1">
        <f t="shared" si="1"/>
        <v>0.26666666666666666</v>
      </c>
      <c r="T15" s="1">
        <f t="shared" si="2"/>
        <v>12</v>
      </c>
      <c r="U15" s="133">
        <f t="shared" si="11"/>
        <v>0.39999999999999997</v>
      </c>
      <c r="V15" s="132">
        <f>IF(Calculations!$B$17=3,2,IF((S15*R15/T15)&lt;((T15*(1-(T15/R15)))/(2*Lm*fsw)),1,2))</f>
        <v>2</v>
      </c>
      <c r="W15" s="1">
        <f t="shared" si="12"/>
        <v>0.33333333333333337</v>
      </c>
      <c r="X15" s="133">
        <f t="shared" si="3"/>
        <v>0.66666666666666663</v>
      </c>
      <c r="Y15" s="132">
        <f t="shared" si="4"/>
        <v>1.6</v>
      </c>
      <c r="Z15" s="1">
        <f t="shared" si="13"/>
        <v>1.2</v>
      </c>
      <c r="AA15" s="1">
        <f t="shared" si="14"/>
        <v>0.61101009266077866</v>
      </c>
      <c r="AB15" s="1">
        <v>0</v>
      </c>
      <c r="AC15" s="1">
        <f t="shared" si="15"/>
        <v>6.1599999999999997E-3</v>
      </c>
      <c r="AD15" s="133">
        <f t="shared" si="16"/>
        <v>6.1599999999999997E-3</v>
      </c>
      <c r="AE15" s="132">
        <f t="shared" si="28"/>
        <v>0.13333333333333333</v>
      </c>
      <c r="AF15" s="1">
        <f t="shared" si="17"/>
        <v>0.35276684147527887</v>
      </c>
      <c r="AG15" s="1">
        <f t="shared" si="5"/>
        <v>2.4888888888888907E-3</v>
      </c>
      <c r="AH15" s="1">
        <f t="shared" si="18"/>
        <v>2.2831287870054364E-2</v>
      </c>
      <c r="AI15" s="133">
        <f t="shared" si="19"/>
        <v>2.5320176758943255E-2</v>
      </c>
      <c r="AJ15" s="132">
        <f t="shared" si="20"/>
        <v>0.26666666666666661</v>
      </c>
      <c r="AK15" s="1">
        <f t="shared" si="21"/>
        <v>0.49888765156985898</v>
      </c>
      <c r="AL15" s="1">
        <f t="shared" si="6"/>
        <v>4.9777777777777806E-3</v>
      </c>
      <c r="AM15" s="1">
        <f t="shared" si="22"/>
        <v>0.15427500000000002</v>
      </c>
      <c r="AN15" s="136">
        <f t="shared" si="29"/>
        <v>1.6799999999999999E-2</v>
      </c>
      <c r="AO15" s="133">
        <f t="shared" si="23"/>
        <v>0.17605277777777781</v>
      </c>
      <c r="AP15" s="132">
        <f t="shared" si="7"/>
        <v>2.4453333333333328E-3</v>
      </c>
      <c r="AQ15" s="137">
        <f t="shared" si="8"/>
        <v>6.1599999999999997E-3</v>
      </c>
      <c r="AR15" s="137">
        <f t="shared" si="9"/>
        <v>4.147588250013759E-2</v>
      </c>
      <c r="AS15" s="1">
        <f t="shared" si="10"/>
        <v>5.9279999999999999E-2</v>
      </c>
      <c r="AT15" s="133">
        <f t="shared" si="24"/>
        <v>4.8000000000000001E-2</v>
      </c>
      <c r="AU15" s="132">
        <f t="shared" si="25"/>
        <v>0.36489417037019201</v>
      </c>
      <c r="AV15" s="1">
        <f t="shared" si="26"/>
        <v>4.8</v>
      </c>
      <c r="AW15" s="133">
        <f t="shared" si="27"/>
        <v>92.935108477856019</v>
      </c>
    </row>
    <row r="16" spans="1:49" x14ac:dyDescent="0.25">
      <c r="Q16">
        <v>9</v>
      </c>
      <c r="R16" s="132">
        <f t="shared" si="0"/>
        <v>18</v>
      </c>
      <c r="S16" s="1">
        <f t="shared" si="1"/>
        <v>0.3</v>
      </c>
      <c r="T16" s="1">
        <f t="shared" si="2"/>
        <v>12</v>
      </c>
      <c r="U16" s="133">
        <f t="shared" si="11"/>
        <v>0.44999999999999996</v>
      </c>
      <c r="V16" s="132">
        <f>IF(Calculations!$B$17=3,2,IF((S16*R16/T16)&lt;((T16*(1-(T16/R16)))/(2*Lm*fsw)),1,2))</f>
        <v>2</v>
      </c>
      <c r="W16" s="1">
        <f t="shared" si="12"/>
        <v>0.33333333333333337</v>
      </c>
      <c r="X16" s="133">
        <f t="shared" si="3"/>
        <v>0.66666666666666663</v>
      </c>
      <c r="Y16" s="132">
        <f t="shared" si="4"/>
        <v>1.6</v>
      </c>
      <c r="Z16" s="1">
        <f t="shared" si="13"/>
        <v>1.25</v>
      </c>
      <c r="AA16" s="1">
        <f t="shared" si="14"/>
        <v>0.64485140407177011</v>
      </c>
      <c r="AB16" s="1">
        <v>0</v>
      </c>
      <c r="AC16" s="1">
        <f t="shared" si="15"/>
        <v>6.8612500000000002E-3</v>
      </c>
      <c r="AD16" s="133">
        <f t="shared" si="16"/>
        <v>6.8612500000000002E-3</v>
      </c>
      <c r="AE16" s="132">
        <f t="shared" si="28"/>
        <v>0.15</v>
      </c>
      <c r="AF16" s="1">
        <f t="shared" si="17"/>
        <v>0.37230513172814472</v>
      </c>
      <c r="AG16" s="1">
        <f t="shared" si="5"/>
        <v>2.7722222222222237E-3</v>
      </c>
      <c r="AH16" s="1">
        <f t="shared" si="18"/>
        <v>2.5685198853811163E-2</v>
      </c>
      <c r="AI16" s="133">
        <f t="shared" si="19"/>
        <v>2.8457421076033388E-2</v>
      </c>
      <c r="AJ16" s="132">
        <f t="shared" si="20"/>
        <v>0.29999999999999993</v>
      </c>
      <c r="AK16" s="1">
        <f t="shared" si="21"/>
        <v>0.52651896663104392</v>
      </c>
      <c r="AL16" s="1">
        <f t="shared" si="6"/>
        <v>5.5444444444444465E-3</v>
      </c>
      <c r="AM16" s="1">
        <f t="shared" si="22"/>
        <v>0.15427500000000002</v>
      </c>
      <c r="AN16" s="136">
        <f t="shared" si="29"/>
        <v>1.7500000000000002E-2</v>
      </c>
      <c r="AO16" s="133">
        <f t="shared" si="23"/>
        <v>0.17731944444444447</v>
      </c>
      <c r="AP16" s="132">
        <f t="shared" si="7"/>
        <v>2.7237083333333332E-3</v>
      </c>
      <c r="AQ16" s="137">
        <f t="shared" si="8"/>
        <v>6.8612500000000002E-3</v>
      </c>
      <c r="AR16" s="137">
        <f t="shared" si="9"/>
        <v>4.147588250013759E-2</v>
      </c>
      <c r="AS16" s="1">
        <f t="shared" si="10"/>
        <v>5.9279999999999999E-2</v>
      </c>
      <c r="AT16" s="133">
        <f t="shared" si="24"/>
        <v>4.8000000000000001E-2</v>
      </c>
      <c r="AU16" s="132">
        <f t="shared" si="25"/>
        <v>0.37097895635394873</v>
      </c>
      <c r="AV16" s="1">
        <f t="shared" si="26"/>
        <v>5.3999999999999995</v>
      </c>
      <c r="AW16" s="133">
        <f t="shared" si="27"/>
        <v>93.571646003915944</v>
      </c>
    </row>
    <row r="17" spans="17:49" x14ac:dyDescent="0.25">
      <c r="Q17">
        <v>10</v>
      </c>
      <c r="R17" s="132">
        <f t="shared" si="0"/>
        <v>18</v>
      </c>
      <c r="S17" s="1">
        <f t="shared" si="1"/>
        <v>0.33333333333333331</v>
      </c>
      <c r="T17" s="1">
        <f t="shared" si="2"/>
        <v>12</v>
      </c>
      <c r="U17" s="133">
        <f t="shared" si="11"/>
        <v>0.5</v>
      </c>
      <c r="V17" s="132">
        <f>IF(Calculations!$B$17=3,2,IF((S17*R17/T17)&lt;((T17*(1-(T17/R17)))/(2*Lm*fsw)),1,2))</f>
        <v>2</v>
      </c>
      <c r="W17" s="1">
        <f t="shared" si="12"/>
        <v>0.33333333333333337</v>
      </c>
      <c r="X17" s="133">
        <f t="shared" si="3"/>
        <v>0.66666666666666663</v>
      </c>
      <c r="Y17" s="132">
        <f t="shared" si="4"/>
        <v>1.6</v>
      </c>
      <c r="Z17" s="1">
        <f t="shared" si="13"/>
        <v>1.3</v>
      </c>
      <c r="AA17" s="1">
        <f t="shared" si="14"/>
        <v>0.68068592855540455</v>
      </c>
      <c r="AB17" s="1">
        <v>0</v>
      </c>
      <c r="AC17" s="1">
        <f t="shared" si="15"/>
        <v>7.6449999999999999E-3</v>
      </c>
      <c r="AD17" s="133">
        <f t="shared" si="16"/>
        <v>7.6449999999999999E-3</v>
      </c>
      <c r="AE17" s="132">
        <f t="shared" si="28"/>
        <v>0.16666666666666669</v>
      </c>
      <c r="AF17" s="1">
        <f t="shared" si="17"/>
        <v>0.39299420408505342</v>
      </c>
      <c r="AG17" s="1">
        <f t="shared" si="5"/>
        <v>3.0888888888888923E-3</v>
      </c>
      <c r="AH17" s="1">
        <f t="shared" si="18"/>
        <v>2.8539109837567959E-2</v>
      </c>
      <c r="AI17" s="133">
        <f t="shared" si="19"/>
        <v>3.162799872645685E-2</v>
      </c>
      <c r="AJ17" s="132">
        <f t="shared" si="20"/>
        <v>0.33333333333333331</v>
      </c>
      <c r="AK17" s="1">
        <f t="shared" si="21"/>
        <v>0.55577773335110248</v>
      </c>
      <c r="AL17" s="1">
        <f t="shared" si="6"/>
        <v>6.1777777777777829E-3</v>
      </c>
      <c r="AM17" s="1">
        <f t="shared" si="22"/>
        <v>0.15427500000000002</v>
      </c>
      <c r="AN17" s="136">
        <f t="shared" si="29"/>
        <v>1.8200000000000001E-2</v>
      </c>
      <c r="AO17" s="133">
        <f t="shared" si="23"/>
        <v>0.1786527777777778</v>
      </c>
      <c r="AP17" s="132">
        <f t="shared" si="7"/>
        <v>3.034833333333333E-3</v>
      </c>
      <c r="AQ17" s="137">
        <f t="shared" si="8"/>
        <v>7.6449999999999999E-3</v>
      </c>
      <c r="AR17" s="137">
        <f t="shared" si="9"/>
        <v>4.147588250013759E-2</v>
      </c>
      <c r="AS17" s="1">
        <f t="shared" si="10"/>
        <v>5.9279999999999999E-2</v>
      </c>
      <c r="AT17" s="133">
        <f t="shared" si="24"/>
        <v>4.8000000000000001E-2</v>
      </c>
      <c r="AU17" s="132">
        <f t="shared" si="25"/>
        <v>0.37736149233770555</v>
      </c>
      <c r="AV17" s="1">
        <f t="shared" si="26"/>
        <v>6</v>
      </c>
      <c r="AW17" s="133">
        <f t="shared" si="27"/>
        <v>94.082795952666331</v>
      </c>
    </row>
    <row r="18" spans="17:49" x14ac:dyDescent="0.25">
      <c r="Q18">
        <v>11</v>
      </c>
      <c r="R18" s="132">
        <f t="shared" si="0"/>
        <v>18</v>
      </c>
      <c r="S18" s="1">
        <f t="shared" si="1"/>
        <v>0.36666666666666664</v>
      </c>
      <c r="T18" s="1">
        <f t="shared" si="2"/>
        <v>12</v>
      </c>
      <c r="U18" s="133">
        <f t="shared" si="11"/>
        <v>0.54999999999999993</v>
      </c>
      <c r="V18" s="132">
        <f>IF(Calculations!$B$17=3,2,IF((S18*R18/T18)&lt;((T18*(1-(T18/R18)))/(2*Lm*fsw)),1,2))</f>
        <v>2</v>
      </c>
      <c r="W18" s="1">
        <f t="shared" si="12"/>
        <v>0.33333333333333337</v>
      </c>
      <c r="X18" s="133">
        <f t="shared" si="3"/>
        <v>0.66666666666666663</v>
      </c>
      <c r="Y18" s="132">
        <f t="shared" si="4"/>
        <v>1.6</v>
      </c>
      <c r="Z18" s="1">
        <f t="shared" si="13"/>
        <v>1.35</v>
      </c>
      <c r="AA18" s="1">
        <f t="shared" si="14"/>
        <v>0.71821538088050818</v>
      </c>
      <c r="AB18" s="1">
        <v>0</v>
      </c>
      <c r="AC18" s="1">
        <f t="shared" si="15"/>
        <v>8.5112500000000032E-3</v>
      </c>
      <c r="AD18" s="133">
        <f t="shared" si="16"/>
        <v>8.5112500000000032E-3</v>
      </c>
      <c r="AE18" s="132">
        <f t="shared" si="28"/>
        <v>0.18333333333333332</v>
      </c>
      <c r="AF18" s="1">
        <f t="shared" si="17"/>
        <v>0.41466184348749108</v>
      </c>
      <c r="AG18" s="1">
        <f t="shared" si="5"/>
        <v>3.4388888888888906E-3</v>
      </c>
      <c r="AH18" s="1">
        <f t="shared" si="18"/>
        <v>3.1393020821324752E-2</v>
      </c>
      <c r="AI18" s="133">
        <f t="shared" si="19"/>
        <v>3.4831909710213646E-2</v>
      </c>
      <c r="AJ18" s="132">
        <f t="shared" si="20"/>
        <v>0.36666666666666659</v>
      </c>
      <c r="AK18" s="1">
        <f t="shared" si="21"/>
        <v>0.5864204028586395</v>
      </c>
      <c r="AL18" s="1">
        <f t="shared" si="6"/>
        <v>6.8777777777777804E-3</v>
      </c>
      <c r="AM18" s="1">
        <f t="shared" si="22"/>
        <v>0.15427500000000002</v>
      </c>
      <c r="AN18" s="136">
        <f t="shared" si="29"/>
        <v>1.89E-2</v>
      </c>
      <c r="AO18" s="133">
        <f t="shared" si="23"/>
        <v>0.18005277777777781</v>
      </c>
      <c r="AP18" s="132">
        <f t="shared" si="7"/>
        <v>3.3787083333333338E-3</v>
      </c>
      <c r="AQ18" s="137">
        <f t="shared" si="8"/>
        <v>8.5112500000000032E-3</v>
      </c>
      <c r="AR18" s="137">
        <f t="shared" si="9"/>
        <v>4.147588250013759E-2</v>
      </c>
      <c r="AS18" s="1">
        <f t="shared" si="10"/>
        <v>5.9279999999999999E-2</v>
      </c>
      <c r="AT18" s="133">
        <f t="shared" si="24"/>
        <v>4.8000000000000001E-2</v>
      </c>
      <c r="AU18" s="132">
        <f t="shared" si="25"/>
        <v>0.38404177832146236</v>
      </c>
      <c r="AV18" s="1">
        <f t="shared" si="26"/>
        <v>6.6</v>
      </c>
      <c r="AW18" s="133">
        <f t="shared" si="27"/>
        <v>94.501152906708953</v>
      </c>
    </row>
    <row r="19" spans="17:49" x14ac:dyDescent="0.25">
      <c r="Q19">
        <v>12</v>
      </c>
      <c r="R19" s="132">
        <f t="shared" si="0"/>
        <v>18</v>
      </c>
      <c r="S19" s="1">
        <f t="shared" si="1"/>
        <v>0.4</v>
      </c>
      <c r="T19" s="1">
        <f t="shared" si="2"/>
        <v>12</v>
      </c>
      <c r="U19" s="133">
        <f t="shared" si="11"/>
        <v>0.6</v>
      </c>
      <c r="V19" s="132">
        <f>IF(Calculations!$B$17=3,2,IF((S19*R19/T19)&lt;((T19*(1-(T19/R19)))/(2*Lm*fsw)),1,2))</f>
        <v>2</v>
      </c>
      <c r="W19" s="1">
        <f t="shared" si="12"/>
        <v>0.33333333333333337</v>
      </c>
      <c r="X19" s="133">
        <f t="shared" si="3"/>
        <v>0.66666666666666663</v>
      </c>
      <c r="Y19" s="132">
        <f t="shared" si="4"/>
        <v>1.6</v>
      </c>
      <c r="Z19" s="1">
        <f t="shared" si="13"/>
        <v>1.4</v>
      </c>
      <c r="AA19" s="1">
        <f t="shared" si="14"/>
        <v>0.75718777944003646</v>
      </c>
      <c r="AB19" s="1">
        <v>0</v>
      </c>
      <c r="AC19" s="1">
        <f t="shared" si="15"/>
        <v>9.4599999999999997E-3</v>
      </c>
      <c r="AD19" s="133">
        <f t="shared" si="16"/>
        <v>9.4599999999999997E-3</v>
      </c>
      <c r="AE19" s="132">
        <f t="shared" si="28"/>
        <v>0.2</v>
      </c>
      <c r="AF19" s="1">
        <f t="shared" si="17"/>
        <v>0.43716256828680022</v>
      </c>
      <c r="AG19" s="1">
        <f t="shared" si="5"/>
        <v>3.8222222222222251E-3</v>
      </c>
      <c r="AH19" s="1">
        <f t="shared" si="18"/>
        <v>3.4246931805081544E-2</v>
      </c>
      <c r="AI19" s="133">
        <f t="shared" si="19"/>
        <v>3.8069154027303771E-2</v>
      </c>
      <c r="AJ19" s="132">
        <f t="shared" si="20"/>
        <v>0.39999999999999997</v>
      </c>
      <c r="AK19" s="1">
        <f t="shared" si="21"/>
        <v>0.61824123303304712</v>
      </c>
      <c r="AL19" s="1">
        <f t="shared" si="6"/>
        <v>7.6444444444444494E-3</v>
      </c>
      <c r="AM19" s="1">
        <f t="shared" si="22"/>
        <v>0.15427500000000002</v>
      </c>
      <c r="AN19" s="136">
        <f t="shared" si="29"/>
        <v>1.9599999999999999E-2</v>
      </c>
      <c r="AO19" s="133">
        <f t="shared" si="23"/>
        <v>0.18151944444444448</v>
      </c>
      <c r="AP19" s="132">
        <f t="shared" si="7"/>
        <v>3.7553333333333323E-3</v>
      </c>
      <c r="AQ19" s="137">
        <f t="shared" si="8"/>
        <v>9.4599999999999997E-3</v>
      </c>
      <c r="AR19" s="137">
        <f t="shared" si="9"/>
        <v>4.147588250013759E-2</v>
      </c>
      <c r="AS19" s="1">
        <f t="shared" si="10"/>
        <v>5.9279999999999999E-2</v>
      </c>
      <c r="AT19" s="133">
        <f t="shared" si="24"/>
        <v>4.8000000000000001E-2</v>
      </c>
      <c r="AU19" s="132">
        <f t="shared" si="25"/>
        <v>0.39101981430521915</v>
      </c>
      <c r="AV19" s="1">
        <f t="shared" si="26"/>
        <v>7.2</v>
      </c>
      <c r="AW19" s="133">
        <f t="shared" si="27"/>
        <v>94.848915904970426</v>
      </c>
    </row>
    <row r="20" spans="17:49" x14ac:dyDescent="0.25">
      <c r="Q20">
        <v>13</v>
      </c>
      <c r="R20" s="132">
        <f t="shared" si="0"/>
        <v>18</v>
      </c>
      <c r="S20" s="1">
        <f t="shared" si="1"/>
        <v>0.43333333333333335</v>
      </c>
      <c r="T20" s="1">
        <f t="shared" si="2"/>
        <v>12</v>
      </c>
      <c r="U20" s="133">
        <f t="shared" si="11"/>
        <v>0.65</v>
      </c>
      <c r="V20" s="132">
        <f>IF(Calculations!$B$17=3,2,IF((S20*R20/T20)&lt;((T20*(1-(T20/R20)))/(2*Lm*fsw)),1,2))</f>
        <v>2</v>
      </c>
      <c r="W20" s="1">
        <f t="shared" si="12"/>
        <v>0.33333333333333337</v>
      </c>
      <c r="X20" s="133">
        <f t="shared" si="3"/>
        <v>0.66666666666666663</v>
      </c>
      <c r="Y20" s="132">
        <f t="shared" si="4"/>
        <v>1.6</v>
      </c>
      <c r="Z20" s="1">
        <f t="shared" si="13"/>
        <v>1.4500000000000002</v>
      </c>
      <c r="AA20" s="1">
        <f t="shared" si="14"/>
        <v>0.79739158092704587</v>
      </c>
      <c r="AB20" s="1">
        <v>0</v>
      </c>
      <c r="AC20" s="1">
        <f t="shared" si="15"/>
        <v>1.0491250000000004E-2</v>
      </c>
      <c r="AD20" s="133">
        <f t="shared" si="16"/>
        <v>1.0491250000000004E-2</v>
      </c>
      <c r="AE20" s="132">
        <f t="shared" si="28"/>
        <v>0.2166666666666667</v>
      </c>
      <c r="AF20" s="1">
        <f t="shared" si="17"/>
        <v>0.46037424389777126</v>
      </c>
      <c r="AG20" s="1">
        <f t="shared" si="5"/>
        <v>4.2388888888888919E-3</v>
      </c>
      <c r="AH20" s="1">
        <f t="shared" si="18"/>
        <v>3.7100842788838351E-2</v>
      </c>
      <c r="AI20" s="133">
        <f t="shared" si="19"/>
        <v>4.133973167772724E-2</v>
      </c>
      <c r="AJ20" s="132">
        <f t="shared" si="20"/>
        <v>0.43333333333333335</v>
      </c>
      <c r="AK20" s="1">
        <f t="shared" si="21"/>
        <v>0.65106749948748721</v>
      </c>
      <c r="AL20" s="1">
        <f t="shared" si="6"/>
        <v>8.4777777777777837E-3</v>
      </c>
      <c r="AM20" s="1">
        <f t="shared" si="22"/>
        <v>0.15427500000000002</v>
      </c>
      <c r="AN20" s="136">
        <f t="shared" si="29"/>
        <v>2.0300000000000002E-2</v>
      </c>
      <c r="AO20" s="133">
        <f t="shared" si="23"/>
        <v>0.18305277777777781</v>
      </c>
      <c r="AP20" s="132">
        <f t="shared" si="7"/>
        <v>4.1647083333333345E-3</v>
      </c>
      <c r="AQ20" s="137">
        <f t="shared" si="8"/>
        <v>1.0491250000000004E-2</v>
      </c>
      <c r="AR20" s="137">
        <f t="shared" si="9"/>
        <v>4.147588250013759E-2</v>
      </c>
      <c r="AS20" s="1">
        <f t="shared" si="10"/>
        <v>5.9279999999999999E-2</v>
      </c>
      <c r="AT20" s="133">
        <f t="shared" si="24"/>
        <v>4.8000000000000001E-2</v>
      </c>
      <c r="AU20" s="132">
        <f t="shared" si="25"/>
        <v>0.39829560028897593</v>
      </c>
      <c r="AV20" s="1">
        <f t="shared" si="26"/>
        <v>7.8000000000000007</v>
      </c>
      <c r="AW20" s="133">
        <f t="shared" si="27"/>
        <v>95.141726772148388</v>
      </c>
    </row>
    <row r="21" spans="17:49" x14ac:dyDescent="0.25">
      <c r="Q21">
        <v>14</v>
      </c>
      <c r="R21" s="132">
        <f t="shared" si="0"/>
        <v>18</v>
      </c>
      <c r="S21" s="1">
        <f t="shared" si="1"/>
        <v>0.46666666666666667</v>
      </c>
      <c r="T21" s="1">
        <f t="shared" si="2"/>
        <v>12</v>
      </c>
      <c r="U21" s="133">
        <f t="shared" si="11"/>
        <v>0.70000000000000007</v>
      </c>
      <c r="V21" s="132">
        <f>IF(Calculations!$B$17=3,2,IF((S21*R21/T21)&lt;((T21*(1-(T21/R21)))/(2*Lm*fsw)),1,2))</f>
        <v>2</v>
      </c>
      <c r="W21" s="1">
        <f t="shared" si="12"/>
        <v>0.33333333333333337</v>
      </c>
      <c r="X21" s="133">
        <f t="shared" si="3"/>
        <v>0.66666666666666663</v>
      </c>
      <c r="Y21" s="132">
        <f t="shared" si="4"/>
        <v>1.6</v>
      </c>
      <c r="Z21" s="1">
        <f t="shared" si="13"/>
        <v>1.5</v>
      </c>
      <c r="AA21" s="1">
        <f t="shared" si="14"/>
        <v>0.83864970836060837</v>
      </c>
      <c r="AB21" s="1">
        <v>0</v>
      </c>
      <c r="AC21" s="1">
        <f t="shared" si="15"/>
        <v>1.1605000000000002E-2</v>
      </c>
      <c r="AD21" s="133">
        <f t="shared" si="16"/>
        <v>1.1605000000000002E-2</v>
      </c>
      <c r="AE21" s="132">
        <f t="shared" si="28"/>
        <v>0.23333333333333339</v>
      </c>
      <c r="AF21" s="1">
        <f t="shared" si="17"/>
        <v>0.48419463487779829</v>
      </c>
      <c r="AG21" s="1">
        <f t="shared" si="5"/>
        <v>4.6888888888888883E-3</v>
      </c>
      <c r="AH21" s="1">
        <f t="shared" si="18"/>
        <v>3.995475377259515E-2</v>
      </c>
      <c r="AI21" s="133">
        <f t="shared" si="19"/>
        <v>4.4643642661484038E-2</v>
      </c>
      <c r="AJ21" s="132">
        <f t="shared" si="20"/>
        <v>0.46666666666666667</v>
      </c>
      <c r="AK21" s="1">
        <f t="shared" si="21"/>
        <v>0.68475461947247118</v>
      </c>
      <c r="AL21" s="1">
        <f t="shared" si="6"/>
        <v>9.3777777777777765E-3</v>
      </c>
      <c r="AM21" s="1">
        <f t="shared" si="22"/>
        <v>0.15427500000000002</v>
      </c>
      <c r="AN21" s="136">
        <f t="shared" si="29"/>
        <v>2.1000000000000001E-2</v>
      </c>
      <c r="AO21" s="133">
        <f t="shared" si="23"/>
        <v>0.1846527777777778</v>
      </c>
      <c r="AP21" s="132">
        <f t="shared" si="7"/>
        <v>4.6068333333333334E-3</v>
      </c>
      <c r="AQ21" s="137">
        <f t="shared" si="8"/>
        <v>1.1605000000000002E-2</v>
      </c>
      <c r="AR21" s="137">
        <f t="shared" si="9"/>
        <v>4.147588250013759E-2</v>
      </c>
      <c r="AS21" s="1">
        <f t="shared" si="10"/>
        <v>5.9279999999999999E-2</v>
      </c>
      <c r="AT21" s="133">
        <f t="shared" si="24"/>
        <v>4.8000000000000001E-2</v>
      </c>
      <c r="AU21" s="132">
        <f t="shared" si="25"/>
        <v>0.4058691362727328</v>
      </c>
      <c r="AV21" s="1">
        <f t="shared" si="26"/>
        <v>8.4</v>
      </c>
      <c r="AW21" s="133">
        <f t="shared" si="27"/>
        <v>95.390924734494462</v>
      </c>
    </row>
    <row r="22" spans="17:49" x14ac:dyDescent="0.25">
      <c r="Q22">
        <v>15</v>
      </c>
      <c r="R22" s="132">
        <f t="shared" si="0"/>
        <v>18</v>
      </c>
      <c r="S22" s="1">
        <f t="shared" si="1"/>
        <v>0.5</v>
      </c>
      <c r="T22" s="1">
        <f t="shared" si="2"/>
        <v>12</v>
      </c>
      <c r="U22" s="133">
        <f t="shared" si="11"/>
        <v>0.75</v>
      </c>
      <c r="V22" s="132">
        <f>IF(Calculations!$B$17=3,2,IF((S22*R22/T22)&lt;((T22*(1-(T22/R22)))/(2*Lm*fsw)),1,2))</f>
        <v>2</v>
      </c>
      <c r="W22" s="1">
        <f t="shared" si="12"/>
        <v>0.33333333333333337</v>
      </c>
      <c r="X22" s="133">
        <f t="shared" si="3"/>
        <v>0.66666666666666663</v>
      </c>
      <c r="Y22" s="132">
        <f t="shared" si="4"/>
        <v>1.6</v>
      </c>
      <c r="Z22" s="1">
        <f t="shared" si="13"/>
        <v>1.55</v>
      </c>
      <c r="AA22" s="1">
        <f t="shared" si="14"/>
        <v>0.88081401744825416</v>
      </c>
      <c r="AB22" s="1">
        <v>0</v>
      </c>
      <c r="AC22" s="1">
        <f t="shared" si="15"/>
        <v>1.2801250000000002E-2</v>
      </c>
      <c r="AD22" s="133">
        <f t="shared" si="16"/>
        <v>1.2801250000000002E-2</v>
      </c>
      <c r="AE22" s="132">
        <f t="shared" si="28"/>
        <v>0.25</v>
      </c>
      <c r="AF22" s="1">
        <f t="shared" si="17"/>
        <v>0.50853821007974531</v>
      </c>
      <c r="AG22" s="1">
        <f t="shared" si="5"/>
        <v>5.1722222222222239E-3</v>
      </c>
      <c r="AH22" s="1">
        <f t="shared" si="18"/>
        <v>4.2808664756351943E-2</v>
      </c>
      <c r="AI22" s="133">
        <f t="shared" si="19"/>
        <v>4.7980886978574167E-2</v>
      </c>
      <c r="AJ22" s="132">
        <f t="shared" si="20"/>
        <v>0.5</v>
      </c>
      <c r="AK22" s="1">
        <f t="shared" si="21"/>
        <v>0.71918163367971388</v>
      </c>
      <c r="AL22" s="1">
        <f t="shared" si="6"/>
        <v>1.0344444444444443E-2</v>
      </c>
      <c r="AM22" s="1">
        <f t="shared" si="22"/>
        <v>0.15427500000000002</v>
      </c>
      <c r="AN22" s="136">
        <f t="shared" si="29"/>
        <v>2.1700000000000001E-2</v>
      </c>
      <c r="AO22" s="133">
        <f t="shared" si="23"/>
        <v>0.18631944444444445</v>
      </c>
      <c r="AP22" s="132">
        <f t="shared" si="7"/>
        <v>5.081708333333333E-3</v>
      </c>
      <c r="AQ22" s="137">
        <f t="shared" si="8"/>
        <v>1.2801250000000002E-2</v>
      </c>
      <c r="AR22" s="137">
        <f t="shared" si="9"/>
        <v>4.147588250013759E-2</v>
      </c>
      <c r="AS22" s="1">
        <f t="shared" si="10"/>
        <v>5.9279999999999999E-2</v>
      </c>
      <c r="AT22" s="133">
        <f t="shared" si="24"/>
        <v>4.8000000000000001E-2</v>
      </c>
      <c r="AU22" s="132">
        <f t="shared" si="25"/>
        <v>0.41374042225648955</v>
      </c>
      <c r="AV22" s="1">
        <f t="shared" si="26"/>
        <v>9</v>
      </c>
      <c r="AW22" s="133">
        <f t="shared" si="27"/>
        <v>95.604930625893374</v>
      </c>
    </row>
    <row r="23" spans="17:49" x14ac:dyDescent="0.25">
      <c r="Q23">
        <v>16</v>
      </c>
      <c r="R23" s="132">
        <f t="shared" si="0"/>
        <v>18</v>
      </c>
      <c r="S23" s="1">
        <f t="shared" si="1"/>
        <v>0.53333333333333333</v>
      </c>
      <c r="T23" s="1">
        <f t="shared" si="2"/>
        <v>12</v>
      </c>
      <c r="U23" s="133">
        <f t="shared" si="11"/>
        <v>0.79999999999999993</v>
      </c>
      <c r="V23" s="132">
        <f>IF(Calculations!$B$17=3,2,IF((S23*R23/T23)&lt;((T23*(1-(T23/R23)))/(2*Lm*fsw)),1,2))</f>
        <v>2</v>
      </c>
      <c r="W23" s="1">
        <f t="shared" si="12"/>
        <v>0.33333333333333337</v>
      </c>
      <c r="X23" s="133">
        <f t="shared" si="3"/>
        <v>0.66666666666666663</v>
      </c>
      <c r="Y23" s="132">
        <f t="shared" si="4"/>
        <v>1.6</v>
      </c>
      <c r="Z23" s="1">
        <f t="shared" si="13"/>
        <v>1.6</v>
      </c>
      <c r="AA23" s="1">
        <f t="shared" si="14"/>
        <v>0.92376043070340119</v>
      </c>
      <c r="AB23" s="1">
        <v>0</v>
      </c>
      <c r="AC23" s="1">
        <f t="shared" si="15"/>
        <v>1.4080000000000001E-2</v>
      </c>
      <c r="AD23" s="133">
        <f t="shared" si="16"/>
        <v>1.4080000000000001E-2</v>
      </c>
      <c r="AE23" s="132">
        <f t="shared" si="28"/>
        <v>0.26666666666666666</v>
      </c>
      <c r="AF23" s="1">
        <f t="shared" si="17"/>
        <v>0.53333333333333344</v>
      </c>
      <c r="AG23" s="1">
        <f t="shared" si="5"/>
        <v>5.6888888888888909E-3</v>
      </c>
      <c r="AH23" s="1">
        <f t="shared" si="18"/>
        <v>4.5662575740108728E-2</v>
      </c>
      <c r="AI23" s="133">
        <f t="shared" si="19"/>
        <v>5.1351464628997617E-2</v>
      </c>
      <c r="AJ23" s="132">
        <f t="shared" si="20"/>
        <v>0.53333333333333321</v>
      </c>
      <c r="AK23" s="1">
        <f t="shared" si="21"/>
        <v>0.7542472332656508</v>
      </c>
      <c r="AL23" s="1">
        <f t="shared" si="6"/>
        <v>1.137777777777778E-2</v>
      </c>
      <c r="AM23" s="1">
        <f t="shared" si="22"/>
        <v>0.15427500000000002</v>
      </c>
      <c r="AN23" s="136">
        <f t="shared" si="29"/>
        <v>2.2400000000000003E-2</v>
      </c>
      <c r="AO23" s="133">
        <f t="shared" si="23"/>
        <v>0.18805277777777782</v>
      </c>
      <c r="AP23" s="132">
        <f t="shared" si="7"/>
        <v>5.5893333333333324E-3</v>
      </c>
      <c r="AQ23" s="137">
        <f t="shared" si="8"/>
        <v>1.4080000000000001E-2</v>
      </c>
      <c r="AR23" s="137">
        <f t="shared" si="9"/>
        <v>4.147588250013759E-2</v>
      </c>
      <c r="AS23" s="1">
        <f t="shared" si="10"/>
        <v>5.9279999999999999E-2</v>
      </c>
      <c r="AT23" s="133">
        <f t="shared" si="24"/>
        <v>4.8000000000000001E-2</v>
      </c>
      <c r="AU23" s="132">
        <f t="shared" si="25"/>
        <v>0.42190945824024628</v>
      </c>
      <c r="AV23" s="1">
        <f t="shared" si="26"/>
        <v>9.6</v>
      </c>
      <c r="AW23" s="133">
        <f t="shared" si="27"/>
        <v>95.790129016847743</v>
      </c>
    </row>
    <row r="24" spans="17:49" x14ac:dyDescent="0.25">
      <c r="Q24">
        <v>17</v>
      </c>
      <c r="R24" s="132">
        <f t="shared" si="0"/>
        <v>18</v>
      </c>
      <c r="S24" s="1">
        <f t="shared" si="1"/>
        <v>0.56666666666666665</v>
      </c>
      <c r="T24" s="1">
        <f t="shared" si="2"/>
        <v>12</v>
      </c>
      <c r="U24" s="133">
        <f t="shared" si="11"/>
        <v>0.85</v>
      </c>
      <c r="V24" s="132">
        <f>IF(Calculations!$B$17=3,2,IF((S24*R24/T24)&lt;((T24*(1-(T24/R24)))/(2*Lm*fsw)),1,2))</f>
        <v>2</v>
      </c>
      <c r="W24" s="1">
        <f t="shared" si="12"/>
        <v>0.33333333333333337</v>
      </c>
      <c r="X24" s="133">
        <f t="shared" si="3"/>
        <v>0.66666666666666663</v>
      </c>
      <c r="Y24" s="132">
        <f t="shared" si="4"/>
        <v>1.6</v>
      </c>
      <c r="Z24" s="1">
        <f t="shared" si="13"/>
        <v>1.65</v>
      </c>
      <c r="AA24" s="1">
        <f t="shared" si="14"/>
        <v>0.96738479072876338</v>
      </c>
      <c r="AB24" s="1">
        <v>0</v>
      </c>
      <c r="AC24" s="1">
        <f t="shared" si="15"/>
        <v>1.544125E-2</v>
      </c>
      <c r="AD24" s="133">
        <f t="shared" si="16"/>
        <v>1.544125E-2</v>
      </c>
      <c r="AE24" s="132">
        <f t="shared" si="28"/>
        <v>0.28333333333333338</v>
      </c>
      <c r="AF24" s="1">
        <f t="shared" si="17"/>
        <v>0.55851986933720132</v>
      </c>
      <c r="AG24" s="1">
        <f t="shared" si="5"/>
        <v>6.2388888888888884E-3</v>
      </c>
      <c r="AH24" s="1">
        <f t="shared" si="18"/>
        <v>4.8516486723865528E-2</v>
      </c>
      <c r="AI24" s="133">
        <f t="shared" si="19"/>
        <v>5.4755375612754419E-2</v>
      </c>
      <c r="AJ24" s="132">
        <f t="shared" si="20"/>
        <v>0.56666666666666665</v>
      </c>
      <c r="AK24" s="1">
        <f t="shared" si="21"/>
        <v>0.78986637407151894</v>
      </c>
      <c r="AL24" s="1">
        <f t="shared" si="6"/>
        <v>1.2477777777777775E-2</v>
      </c>
      <c r="AM24" s="1">
        <f t="shared" si="22"/>
        <v>0.15427500000000002</v>
      </c>
      <c r="AN24" s="136">
        <f t="shared" si="29"/>
        <v>2.3099999999999999E-2</v>
      </c>
      <c r="AO24" s="133">
        <f t="shared" si="23"/>
        <v>0.18985277777777781</v>
      </c>
      <c r="AP24" s="132">
        <f t="shared" si="7"/>
        <v>6.1297083333333325E-3</v>
      </c>
      <c r="AQ24" s="137">
        <f t="shared" si="8"/>
        <v>1.544125E-2</v>
      </c>
      <c r="AR24" s="137">
        <f t="shared" si="9"/>
        <v>4.147588250013759E-2</v>
      </c>
      <c r="AS24" s="1">
        <f t="shared" si="10"/>
        <v>5.9279999999999999E-2</v>
      </c>
      <c r="AT24" s="133">
        <f t="shared" si="24"/>
        <v>4.8000000000000001E-2</v>
      </c>
      <c r="AU24" s="132">
        <f t="shared" si="25"/>
        <v>0.43037624422400322</v>
      </c>
      <c r="AV24" s="1">
        <f t="shared" si="26"/>
        <v>10.199999999999999</v>
      </c>
      <c r="AW24" s="133">
        <f t="shared" si="27"/>
        <v>95.951448619160146</v>
      </c>
    </row>
    <row r="25" spans="17:49" x14ac:dyDescent="0.25">
      <c r="Q25">
        <v>18</v>
      </c>
      <c r="R25" s="132">
        <f t="shared" si="0"/>
        <v>18</v>
      </c>
      <c r="S25" s="1">
        <f t="shared" si="1"/>
        <v>0.6</v>
      </c>
      <c r="T25" s="1">
        <f t="shared" si="2"/>
        <v>12</v>
      </c>
      <c r="U25" s="133">
        <f t="shared" si="11"/>
        <v>0.89999999999999991</v>
      </c>
      <c r="V25" s="132">
        <f>IF(Calculations!$B$17=3,2,IF((S25*R25/T25)&lt;((T25*(1-(T25/R25)))/(2*Lm*fsw)),1,2))</f>
        <v>2</v>
      </c>
      <c r="W25" s="1">
        <f t="shared" si="12"/>
        <v>0.33333333333333337</v>
      </c>
      <c r="X25" s="133">
        <f t="shared" si="3"/>
        <v>0.66666666666666663</v>
      </c>
      <c r="Y25" s="132">
        <f t="shared" si="4"/>
        <v>1.6</v>
      </c>
      <c r="Z25" s="1">
        <f t="shared" si="13"/>
        <v>1.7</v>
      </c>
      <c r="AA25" s="1">
        <f t="shared" si="14"/>
        <v>1.0115993936995678</v>
      </c>
      <c r="AB25" s="1">
        <v>0</v>
      </c>
      <c r="AC25" s="1">
        <f t="shared" si="15"/>
        <v>1.6884999999999994E-2</v>
      </c>
      <c r="AD25" s="133">
        <f t="shared" si="16"/>
        <v>1.6884999999999994E-2</v>
      </c>
      <c r="AE25" s="132">
        <f t="shared" si="28"/>
        <v>0.3</v>
      </c>
      <c r="AF25" s="1">
        <f t="shared" si="17"/>
        <v>0.58404718226450769</v>
      </c>
      <c r="AG25" s="1">
        <f t="shared" si="5"/>
        <v>6.8222222222222217E-3</v>
      </c>
      <c r="AH25" s="1">
        <f t="shared" si="18"/>
        <v>5.1370397707622327E-2</v>
      </c>
      <c r="AI25" s="133">
        <f t="shared" si="19"/>
        <v>5.819261992984455E-2</v>
      </c>
      <c r="AJ25" s="132">
        <f t="shared" si="20"/>
        <v>0.59999999999999987</v>
      </c>
      <c r="AK25" s="1">
        <f t="shared" si="21"/>
        <v>0.82596744622425766</v>
      </c>
      <c r="AL25" s="1">
        <f t="shared" si="6"/>
        <v>1.364444444444444E-2</v>
      </c>
      <c r="AM25" s="1">
        <f t="shared" si="22"/>
        <v>0.15427500000000002</v>
      </c>
      <c r="AN25" s="136">
        <f t="shared" si="29"/>
        <v>2.3799999999999998E-2</v>
      </c>
      <c r="AO25" s="133">
        <f t="shared" si="23"/>
        <v>0.19171944444444444</v>
      </c>
      <c r="AP25" s="132">
        <f t="shared" si="7"/>
        <v>6.7028333333333306E-3</v>
      </c>
      <c r="AQ25" s="137">
        <f t="shared" si="8"/>
        <v>1.6884999999999994E-2</v>
      </c>
      <c r="AR25" s="137">
        <f t="shared" si="9"/>
        <v>4.147588250013759E-2</v>
      </c>
      <c r="AS25" s="1">
        <f t="shared" si="10"/>
        <v>5.9279999999999999E-2</v>
      </c>
      <c r="AT25" s="133">
        <f t="shared" si="24"/>
        <v>4.8000000000000001E-2</v>
      </c>
      <c r="AU25" s="132">
        <f t="shared" si="25"/>
        <v>0.43914078020775982</v>
      </c>
      <c r="AV25" s="1">
        <f t="shared" si="26"/>
        <v>10.799999999999999</v>
      </c>
      <c r="AW25" s="133">
        <f t="shared" si="27"/>
        <v>96.09275487516723</v>
      </c>
    </row>
    <row r="26" spans="17:49" x14ac:dyDescent="0.25">
      <c r="Q26">
        <v>19</v>
      </c>
      <c r="R26" s="132">
        <f t="shared" si="0"/>
        <v>18</v>
      </c>
      <c r="S26" s="1">
        <f t="shared" si="1"/>
        <v>0.6333333333333333</v>
      </c>
      <c r="T26" s="1">
        <f t="shared" si="2"/>
        <v>12</v>
      </c>
      <c r="U26" s="133">
        <f t="shared" si="11"/>
        <v>0.94999999999999984</v>
      </c>
      <c r="V26" s="132">
        <f>IF(Calculations!$B$17=3,2,IF((S26*R26/T26)&lt;((T26*(1-(T26/R26)))/(2*Lm*fsw)),1,2))</f>
        <v>2</v>
      </c>
      <c r="W26" s="1">
        <f t="shared" si="12"/>
        <v>0.33333333333333337</v>
      </c>
      <c r="X26" s="133">
        <f t="shared" si="3"/>
        <v>0.66666666666666663</v>
      </c>
      <c r="Y26" s="132">
        <f t="shared" si="4"/>
        <v>1.6</v>
      </c>
      <c r="Z26" s="1">
        <f t="shared" si="13"/>
        <v>1.75</v>
      </c>
      <c r="AA26" s="1">
        <f t="shared" si="14"/>
        <v>1.0563301251660548</v>
      </c>
      <c r="AB26" s="1">
        <v>0</v>
      </c>
      <c r="AC26" s="1">
        <f t="shared" si="15"/>
        <v>1.8411249999999997E-2</v>
      </c>
      <c r="AD26" s="133">
        <f t="shared" si="16"/>
        <v>1.8411249999999997E-2</v>
      </c>
      <c r="AE26" s="132">
        <f t="shared" si="28"/>
        <v>0.31666666666666665</v>
      </c>
      <c r="AF26" s="1">
        <f t="shared" si="17"/>
        <v>0.60987248211773293</v>
      </c>
      <c r="AG26" s="1">
        <f t="shared" si="5"/>
        <v>7.4388888888888898E-3</v>
      </c>
      <c r="AH26" s="1">
        <f t="shared" si="18"/>
        <v>5.4224308691379113E-2</v>
      </c>
      <c r="AI26" s="133">
        <f t="shared" si="19"/>
        <v>6.1663197580268003E-2</v>
      </c>
      <c r="AJ26" s="132">
        <f t="shared" si="20"/>
        <v>0.63333333333333319</v>
      </c>
      <c r="AK26" s="1">
        <f t="shared" si="21"/>
        <v>0.86248993552904074</v>
      </c>
      <c r="AL26" s="1">
        <f t="shared" si="6"/>
        <v>1.4877777777777776E-2</v>
      </c>
      <c r="AM26" s="1">
        <f t="shared" si="22"/>
        <v>0.15427500000000002</v>
      </c>
      <c r="AN26" s="136">
        <f t="shared" si="29"/>
        <v>2.4500000000000001E-2</v>
      </c>
      <c r="AO26" s="133">
        <f t="shared" si="23"/>
        <v>0.19365277777777778</v>
      </c>
      <c r="AP26" s="132">
        <f t="shared" si="7"/>
        <v>7.3087083333333303E-3</v>
      </c>
      <c r="AQ26" s="137">
        <f t="shared" si="8"/>
        <v>1.8411249999999997E-2</v>
      </c>
      <c r="AR26" s="137">
        <f t="shared" si="9"/>
        <v>4.147588250013759E-2</v>
      </c>
      <c r="AS26" s="1">
        <f t="shared" si="10"/>
        <v>5.9279999999999999E-2</v>
      </c>
      <c r="AT26" s="133">
        <f t="shared" si="24"/>
        <v>4.8000000000000001E-2</v>
      </c>
      <c r="AU26" s="132">
        <f t="shared" si="25"/>
        <v>0.44820306619151673</v>
      </c>
      <c r="AV26" s="1">
        <f t="shared" si="26"/>
        <v>11.399999999999999</v>
      </c>
      <c r="AW26" s="133">
        <f t="shared" si="27"/>
        <v>96.217122008395933</v>
      </c>
    </row>
    <row r="27" spans="17:49" x14ac:dyDescent="0.25">
      <c r="Q27">
        <v>20</v>
      </c>
      <c r="R27" s="132">
        <f t="shared" si="0"/>
        <v>18</v>
      </c>
      <c r="S27" s="1">
        <f t="shared" si="1"/>
        <v>0.66666666666666663</v>
      </c>
      <c r="T27" s="1">
        <f t="shared" si="2"/>
        <v>12</v>
      </c>
      <c r="U27" s="133">
        <f t="shared" si="11"/>
        <v>1</v>
      </c>
      <c r="V27" s="132">
        <f>IF(Calculations!$B$17=3,2,IF((S27*R27/T27)&lt;((T27*(1-(T27/R27)))/(2*Lm*fsw)),1,2))</f>
        <v>2</v>
      </c>
      <c r="W27" s="1">
        <f t="shared" si="12"/>
        <v>0.33333333333333337</v>
      </c>
      <c r="X27" s="133">
        <f t="shared" si="3"/>
        <v>0.66666666666666663</v>
      </c>
      <c r="Y27" s="132">
        <f t="shared" si="4"/>
        <v>1.6</v>
      </c>
      <c r="Z27" s="1">
        <f t="shared" si="13"/>
        <v>1.8</v>
      </c>
      <c r="AA27" s="1">
        <f t="shared" si="14"/>
        <v>1.1015141094572205</v>
      </c>
      <c r="AB27" s="1">
        <v>0</v>
      </c>
      <c r="AC27" s="1">
        <f t="shared" si="15"/>
        <v>2.0020000000000007E-2</v>
      </c>
      <c r="AD27" s="133">
        <f t="shared" si="16"/>
        <v>2.0020000000000007E-2</v>
      </c>
      <c r="AE27" s="132">
        <f t="shared" si="28"/>
        <v>0.33333333333333337</v>
      </c>
      <c r="AF27" s="1">
        <f t="shared" si="17"/>
        <v>0.63595946761129718</v>
      </c>
      <c r="AG27" s="1">
        <f t="shared" si="5"/>
        <v>8.088888888888892E-3</v>
      </c>
      <c r="AH27" s="1">
        <f t="shared" si="18"/>
        <v>5.7078219675135919E-2</v>
      </c>
      <c r="AI27" s="133">
        <f t="shared" si="19"/>
        <v>6.5167108564024814E-2</v>
      </c>
      <c r="AJ27" s="132">
        <f t="shared" si="20"/>
        <v>0.66666666666666663</v>
      </c>
      <c r="AK27" s="1">
        <f t="shared" si="21"/>
        <v>0.89938250421546939</v>
      </c>
      <c r="AL27" s="1">
        <f t="shared" si="6"/>
        <v>1.6177777777777777E-2</v>
      </c>
      <c r="AM27" s="1">
        <f t="shared" si="22"/>
        <v>0.15427500000000002</v>
      </c>
      <c r="AN27" s="136">
        <f t="shared" si="29"/>
        <v>2.52E-2</v>
      </c>
      <c r="AO27" s="133">
        <f t="shared" si="23"/>
        <v>0.19565277777777779</v>
      </c>
      <c r="AP27" s="132">
        <f t="shared" si="7"/>
        <v>7.947333333333334E-3</v>
      </c>
      <c r="AQ27" s="137">
        <f t="shared" si="8"/>
        <v>2.0020000000000007E-2</v>
      </c>
      <c r="AR27" s="137">
        <f t="shared" si="9"/>
        <v>4.147588250013759E-2</v>
      </c>
      <c r="AS27" s="1">
        <f t="shared" si="10"/>
        <v>5.9279999999999999E-2</v>
      </c>
      <c r="AT27" s="133">
        <f t="shared" si="24"/>
        <v>4.8000000000000001E-2</v>
      </c>
      <c r="AU27" s="132">
        <f t="shared" si="25"/>
        <v>0.45756310217527352</v>
      </c>
      <c r="AV27" s="1">
        <f t="shared" si="26"/>
        <v>12</v>
      </c>
      <c r="AW27" s="133">
        <f t="shared" si="27"/>
        <v>96.327025611490782</v>
      </c>
    </row>
    <row r="28" spans="17:49" x14ac:dyDescent="0.25">
      <c r="Q28">
        <v>21</v>
      </c>
      <c r="R28" s="132">
        <f t="shared" si="0"/>
        <v>18</v>
      </c>
      <c r="S28" s="1">
        <f t="shared" si="1"/>
        <v>0.7</v>
      </c>
      <c r="T28" s="1">
        <f t="shared" si="2"/>
        <v>12</v>
      </c>
      <c r="U28" s="133">
        <f t="shared" si="11"/>
        <v>1.05</v>
      </c>
      <c r="V28" s="132">
        <f>IF(Calculations!$B$17=3,2,IF((S28*R28/T28)&lt;((T28*(1-(T28/R28)))/(2*Lm*fsw)),1,2))</f>
        <v>2</v>
      </c>
      <c r="W28" s="1">
        <f t="shared" si="12"/>
        <v>0.33333333333333337</v>
      </c>
      <c r="X28" s="133">
        <f t="shared" si="3"/>
        <v>0.66666666666666663</v>
      </c>
      <c r="Y28" s="132">
        <f t="shared" si="4"/>
        <v>1.6</v>
      </c>
      <c r="Z28" s="1">
        <f t="shared" si="13"/>
        <v>1.85</v>
      </c>
      <c r="AA28" s="1">
        <f t="shared" si="14"/>
        <v>1.1470977871713175</v>
      </c>
      <c r="AB28" s="1">
        <v>0</v>
      </c>
      <c r="AC28" s="1">
        <f t="shared" si="15"/>
        <v>2.1711249999999998E-2</v>
      </c>
      <c r="AD28" s="133">
        <f t="shared" si="16"/>
        <v>2.1711249999999998E-2</v>
      </c>
      <c r="AE28" s="132">
        <f t="shared" si="28"/>
        <v>0.35000000000000003</v>
      </c>
      <c r="AF28" s="1">
        <f t="shared" si="17"/>
        <v>0.66227721621018432</v>
      </c>
      <c r="AG28" s="1">
        <f t="shared" si="5"/>
        <v>8.7722222222222247E-3</v>
      </c>
      <c r="AH28" s="1">
        <f t="shared" si="18"/>
        <v>5.9932130658892725E-2</v>
      </c>
      <c r="AI28" s="133">
        <f t="shared" si="19"/>
        <v>6.8704352881114955E-2</v>
      </c>
      <c r="AJ28" s="132">
        <f t="shared" si="20"/>
        <v>0.7</v>
      </c>
      <c r="AK28" s="1">
        <f t="shared" si="21"/>
        <v>0.93660142121514112</v>
      </c>
      <c r="AL28" s="1">
        <f t="shared" si="6"/>
        <v>1.7544444444444446E-2</v>
      </c>
      <c r="AM28" s="1">
        <f t="shared" si="22"/>
        <v>0.15427500000000002</v>
      </c>
      <c r="AN28" s="136">
        <f t="shared" si="29"/>
        <v>2.5900000000000003E-2</v>
      </c>
      <c r="AO28" s="133">
        <f t="shared" si="23"/>
        <v>0.19771944444444448</v>
      </c>
      <c r="AP28" s="132">
        <f t="shared" si="7"/>
        <v>8.6187083333333324E-3</v>
      </c>
      <c r="AQ28" s="137">
        <f t="shared" si="8"/>
        <v>2.1711249999999998E-2</v>
      </c>
      <c r="AR28" s="137">
        <f t="shared" si="9"/>
        <v>4.147588250013759E-2</v>
      </c>
      <c r="AS28" s="1">
        <f t="shared" si="10"/>
        <v>5.9279999999999999E-2</v>
      </c>
      <c r="AT28" s="133">
        <f t="shared" si="24"/>
        <v>4.8000000000000001E-2</v>
      </c>
      <c r="AU28" s="132">
        <f t="shared" si="25"/>
        <v>0.4672208881590304</v>
      </c>
      <c r="AV28" s="1">
        <f t="shared" si="26"/>
        <v>12.6</v>
      </c>
      <c r="AW28" s="133">
        <f t="shared" si="27"/>
        <v>96.424481592850356</v>
      </c>
    </row>
    <row r="29" spans="17:49" x14ac:dyDescent="0.25">
      <c r="Q29">
        <v>22</v>
      </c>
      <c r="R29" s="132">
        <f t="shared" si="0"/>
        <v>18</v>
      </c>
      <c r="S29" s="1">
        <f t="shared" si="1"/>
        <v>0.73333333333333328</v>
      </c>
      <c r="T29" s="1">
        <f t="shared" si="2"/>
        <v>12</v>
      </c>
      <c r="U29" s="133">
        <f t="shared" si="11"/>
        <v>1.0999999999999999</v>
      </c>
      <c r="V29" s="132">
        <f>IF(Calculations!$B$17=3,2,IF((S29*R29/T29)&lt;((T29*(1-(T29/R29)))/(2*Lm*fsw)),1,2))</f>
        <v>2</v>
      </c>
      <c r="W29" s="1">
        <f t="shared" si="12"/>
        <v>0.33333333333333337</v>
      </c>
      <c r="X29" s="133">
        <f t="shared" si="3"/>
        <v>0.66666666666666663</v>
      </c>
      <c r="Y29" s="132">
        <f t="shared" si="4"/>
        <v>1.6</v>
      </c>
      <c r="Z29" s="1">
        <f t="shared" si="13"/>
        <v>1.9</v>
      </c>
      <c r="AA29" s="1">
        <f t="shared" si="14"/>
        <v>1.1930353445448854</v>
      </c>
      <c r="AB29" s="1">
        <v>0</v>
      </c>
      <c r="AC29" s="1">
        <f t="shared" si="15"/>
        <v>2.3485000000000002E-2</v>
      </c>
      <c r="AD29" s="133">
        <f t="shared" si="16"/>
        <v>2.3485000000000002E-2</v>
      </c>
      <c r="AE29" s="132">
        <f t="shared" si="28"/>
        <v>0.36666666666666664</v>
      </c>
      <c r="AF29" s="1">
        <f t="shared" si="17"/>
        <v>0.68879927732572743</v>
      </c>
      <c r="AG29" s="1">
        <f t="shared" si="5"/>
        <v>9.4888888888888887E-3</v>
      </c>
      <c r="AH29" s="1">
        <f t="shared" si="18"/>
        <v>6.2786041642649504E-2</v>
      </c>
      <c r="AI29" s="133">
        <f t="shared" si="19"/>
        <v>7.2274930531538398E-2</v>
      </c>
      <c r="AJ29" s="132">
        <f t="shared" si="20"/>
        <v>0.73333333333333317</v>
      </c>
      <c r="AK29" s="1">
        <f t="shared" si="21"/>
        <v>0.97410927974683037</v>
      </c>
      <c r="AL29" s="1">
        <f t="shared" si="6"/>
        <v>1.8977777777777774E-2</v>
      </c>
      <c r="AM29" s="1">
        <f t="shared" si="22"/>
        <v>0.15427500000000002</v>
      </c>
      <c r="AN29" s="136">
        <f t="shared" si="29"/>
        <v>2.6599999999999999E-2</v>
      </c>
      <c r="AO29" s="133">
        <f t="shared" si="23"/>
        <v>0.19985277777777782</v>
      </c>
      <c r="AP29" s="132">
        <f t="shared" si="7"/>
        <v>9.3228333333333323E-3</v>
      </c>
      <c r="AQ29" s="137">
        <f t="shared" si="8"/>
        <v>2.3485000000000002E-2</v>
      </c>
      <c r="AR29" s="137">
        <f t="shared" si="9"/>
        <v>4.147588250013759E-2</v>
      </c>
      <c r="AS29" s="1">
        <f t="shared" si="10"/>
        <v>5.9279999999999999E-2</v>
      </c>
      <c r="AT29" s="133">
        <f t="shared" si="24"/>
        <v>4.8000000000000001E-2</v>
      </c>
      <c r="AU29" s="132">
        <f t="shared" si="25"/>
        <v>0.47717642414278705</v>
      </c>
      <c r="AV29" s="1">
        <f t="shared" si="26"/>
        <v>13.2</v>
      </c>
      <c r="AW29" s="133">
        <f t="shared" si="27"/>
        <v>96.511148139461881</v>
      </c>
    </row>
    <row r="30" spans="17:49" x14ac:dyDescent="0.25">
      <c r="Q30">
        <v>23</v>
      </c>
      <c r="R30" s="132">
        <f t="shared" si="0"/>
        <v>18</v>
      </c>
      <c r="S30" s="1">
        <f t="shared" si="1"/>
        <v>0.76666666666666661</v>
      </c>
      <c r="T30" s="1">
        <f t="shared" si="2"/>
        <v>12</v>
      </c>
      <c r="U30" s="133">
        <f t="shared" si="11"/>
        <v>1.1499999999999999</v>
      </c>
      <c r="V30" s="132">
        <f>IF(Calculations!$B$17=3,2,IF((S30*R30/T30)&lt;((T30*(1-(T30/R30)))/(2*Lm*fsw)),1,2))</f>
        <v>2</v>
      </c>
      <c r="W30" s="1">
        <f t="shared" si="12"/>
        <v>0.33333333333333337</v>
      </c>
      <c r="X30" s="133">
        <f t="shared" si="3"/>
        <v>0.66666666666666663</v>
      </c>
      <c r="Y30" s="132">
        <f t="shared" si="4"/>
        <v>1.6</v>
      </c>
      <c r="Z30" s="1">
        <f t="shared" si="13"/>
        <v>1.95</v>
      </c>
      <c r="AA30" s="1">
        <f t="shared" si="14"/>
        <v>1.2392874296680867</v>
      </c>
      <c r="AB30" s="1">
        <v>0</v>
      </c>
      <c r="AC30" s="1">
        <f t="shared" si="15"/>
        <v>2.5341249999999996E-2</v>
      </c>
      <c r="AD30" s="133">
        <f t="shared" si="16"/>
        <v>2.5341249999999996E-2</v>
      </c>
      <c r="AE30" s="132">
        <f t="shared" si="28"/>
        <v>0.38333333333333336</v>
      </c>
      <c r="AF30" s="1">
        <f t="shared" si="17"/>
        <v>0.71550293112218954</v>
      </c>
      <c r="AG30" s="1">
        <f t="shared" si="5"/>
        <v>1.0238888888888895E-2</v>
      </c>
      <c r="AH30" s="1">
        <f t="shared" si="18"/>
        <v>6.5639952626406303E-2</v>
      </c>
      <c r="AI30" s="133">
        <f t="shared" si="19"/>
        <v>7.5878841515295198E-2</v>
      </c>
      <c r="AJ30" s="132">
        <f t="shared" si="20"/>
        <v>0.76666666666666661</v>
      </c>
      <c r="AK30" s="1">
        <f t="shared" si="21"/>
        <v>1.0118739491107027</v>
      </c>
      <c r="AL30" s="1">
        <f t="shared" si="6"/>
        <v>2.0477777777777782E-2</v>
      </c>
      <c r="AM30" s="1">
        <f t="shared" si="22"/>
        <v>0.15427500000000002</v>
      </c>
      <c r="AN30" s="136">
        <f t="shared" si="29"/>
        <v>2.7300000000000001E-2</v>
      </c>
      <c r="AO30" s="133">
        <f t="shared" si="23"/>
        <v>0.2020527777777778</v>
      </c>
      <c r="AP30" s="132">
        <f t="shared" si="7"/>
        <v>1.005970833333333E-2</v>
      </c>
      <c r="AQ30" s="137">
        <f t="shared" si="8"/>
        <v>2.5341249999999996E-2</v>
      </c>
      <c r="AR30" s="137">
        <f t="shared" si="9"/>
        <v>4.147588250013759E-2</v>
      </c>
      <c r="AS30" s="1">
        <f t="shared" si="10"/>
        <v>5.9279999999999999E-2</v>
      </c>
      <c r="AT30" s="133">
        <f t="shared" si="24"/>
        <v>4.8000000000000001E-2</v>
      </c>
      <c r="AU30" s="132">
        <f t="shared" si="25"/>
        <v>0.4874297101265439</v>
      </c>
      <c r="AV30" s="1">
        <f t="shared" si="26"/>
        <v>13.799999999999999</v>
      </c>
      <c r="AW30" s="133">
        <f t="shared" si="27"/>
        <v>96.588401692845665</v>
      </c>
    </row>
    <row r="31" spans="17:49" x14ac:dyDescent="0.25">
      <c r="Q31">
        <v>24</v>
      </c>
      <c r="R31" s="132">
        <f t="shared" si="0"/>
        <v>18</v>
      </c>
      <c r="S31" s="1">
        <f t="shared" si="1"/>
        <v>0.8</v>
      </c>
      <c r="T31" s="1">
        <f t="shared" si="2"/>
        <v>12</v>
      </c>
      <c r="U31" s="133">
        <f t="shared" si="11"/>
        <v>1.2</v>
      </c>
      <c r="V31" s="132">
        <f>IF(Calculations!$B$17=3,2,IF((S31*R31/T31)&lt;((T31*(1-(T31/R31)))/(2*Lm*fsw)),1,2))</f>
        <v>2</v>
      </c>
      <c r="W31" s="1">
        <f t="shared" si="12"/>
        <v>0.33333333333333337</v>
      </c>
      <c r="X31" s="133">
        <f t="shared" si="3"/>
        <v>0.66666666666666663</v>
      </c>
      <c r="Y31" s="132">
        <f t="shared" si="4"/>
        <v>1.6</v>
      </c>
      <c r="Z31" s="1">
        <f t="shared" si="13"/>
        <v>2</v>
      </c>
      <c r="AA31" s="1">
        <f t="shared" si="14"/>
        <v>1.2858201014657273</v>
      </c>
      <c r="AB31" s="1">
        <v>0</v>
      </c>
      <c r="AC31" s="1">
        <f t="shared" si="15"/>
        <v>2.7280000000000002E-2</v>
      </c>
      <c r="AD31" s="133">
        <f t="shared" si="16"/>
        <v>2.7280000000000002E-2</v>
      </c>
      <c r="AE31" s="132">
        <f t="shared" si="28"/>
        <v>0.4</v>
      </c>
      <c r="AF31" s="1">
        <f t="shared" si="17"/>
        <v>0.74236858171066966</v>
      </c>
      <c r="AG31" s="1">
        <f t="shared" si="5"/>
        <v>1.1022222222222225E-2</v>
      </c>
      <c r="AH31" s="1">
        <f t="shared" si="18"/>
        <v>6.8493863610163089E-2</v>
      </c>
      <c r="AI31" s="133">
        <f t="shared" si="19"/>
        <v>7.9516085832385314E-2</v>
      </c>
      <c r="AJ31" s="132">
        <f t="shared" si="20"/>
        <v>0.79999999999999993</v>
      </c>
      <c r="AK31" s="1">
        <f t="shared" si="21"/>
        <v>1.0498677165349082</v>
      </c>
      <c r="AL31" s="1">
        <f t="shared" si="6"/>
        <v>2.2044444444444446E-2</v>
      </c>
      <c r="AM31" s="1">
        <f t="shared" si="22"/>
        <v>0.15427500000000002</v>
      </c>
      <c r="AN31" s="136">
        <f t="shared" si="29"/>
        <v>2.8000000000000001E-2</v>
      </c>
      <c r="AO31" s="133">
        <f t="shared" si="23"/>
        <v>0.20431944444444447</v>
      </c>
      <c r="AP31" s="132">
        <f t="shared" si="7"/>
        <v>1.0829333333333331E-2</v>
      </c>
      <c r="AQ31" s="137">
        <f t="shared" si="8"/>
        <v>2.7280000000000002E-2</v>
      </c>
      <c r="AR31" s="137">
        <f t="shared" si="9"/>
        <v>4.147588250013759E-2</v>
      </c>
      <c r="AS31" s="1">
        <f t="shared" si="10"/>
        <v>5.9279999999999999E-2</v>
      </c>
      <c r="AT31" s="133">
        <f t="shared" si="24"/>
        <v>4.8000000000000001E-2</v>
      </c>
      <c r="AU31" s="132">
        <f t="shared" si="25"/>
        <v>0.49798074611030074</v>
      </c>
      <c r="AV31" s="1">
        <f t="shared" si="26"/>
        <v>14.4</v>
      </c>
      <c r="AW31" s="133">
        <f t="shared" si="27"/>
        <v>96.657394350302681</v>
      </c>
    </row>
    <row r="32" spans="17:49" x14ac:dyDescent="0.25">
      <c r="Q32">
        <v>25</v>
      </c>
      <c r="R32" s="132">
        <f t="shared" si="0"/>
        <v>18</v>
      </c>
      <c r="S32" s="1">
        <f t="shared" si="1"/>
        <v>0.83333333333333337</v>
      </c>
      <c r="T32" s="1">
        <f t="shared" si="2"/>
        <v>12</v>
      </c>
      <c r="U32" s="133">
        <f t="shared" si="11"/>
        <v>1.25</v>
      </c>
      <c r="V32" s="132">
        <f>IF(Calculations!$B$17=3,2,IF((S32*R32/T32)&lt;((T32*(1-(T32/R32)))/(2*Lm*fsw)),1,2))</f>
        <v>2</v>
      </c>
      <c r="W32" s="1">
        <f t="shared" si="12"/>
        <v>0.33333333333333337</v>
      </c>
      <c r="X32" s="133">
        <f t="shared" si="3"/>
        <v>0.66666666666666663</v>
      </c>
      <c r="Y32" s="132">
        <f t="shared" si="4"/>
        <v>1.6</v>
      </c>
      <c r="Z32" s="1">
        <f t="shared" si="13"/>
        <v>2.0499999999999998</v>
      </c>
      <c r="AA32" s="1">
        <f t="shared" si="14"/>
        <v>1.332603967176045</v>
      </c>
      <c r="AB32" s="1">
        <v>0</v>
      </c>
      <c r="AC32" s="1">
        <f t="shared" si="15"/>
        <v>2.9301250000000004E-2</v>
      </c>
      <c r="AD32" s="133">
        <f t="shared" si="16"/>
        <v>2.9301250000000004E-2</v>
      </c>
      <c r="AE32" s="132">
        <f t="shared" si="28"/>
        <v>0.41666666666666674</v>
      </c>
      <c r="AF32" s="1">
        <f t="shared" si="17"/>
        <v>0.76937925917225281</v>
      </c>
      <c r="AG32" s="1">
        <f t="shared" si="5"/>
        <v>1.1838888888888892E-2</v>
      </c>
      <c r="AH32" s="1">
        <f t="shared" si="18"/>
        <v>7.1347774593919902E-2</v>
      </c>
      <c r="AI32" s="133">
        <f t="shared" si="19"/>
        <v>8.3186663482808787E-2</v>
      </c>
      <c r="AJ32" s="132">
        <f t="shared" si="20"/>
        <v>0.83333333333333326</v>
      </c>
      <c r="AK32" s="1">
        <f t="shared" si="21"/>
        <v>1.0880665829299643</v>
      </c>
      <c r="AL32" s="1">
        <f t="shared" si="6"/>
        <v>2.3677777777777777E-2</v>
      </c>
      <c r="AM32" s="1">
        <f t="shared" si="22"/>
        <v>0.15427500000000002</v>
      </c>
      <c r="AN32" s="136">
        <f t="shared" si="29"/>
        <v>2.87E-2</v>
      </c>
      <c r="AO32" s="133">
        <f t="shared" si="23"/>
        <v>0.2066527777777778</v>
      </c>
      <c r="AP32" s="132">
        <f t="shared" si="7"/>
        <v>1.1631708333333334E-2</v>
      </c>
      <c r="AQ32" s="137">
        <f t="shared" si="8"/>
        <v>2.9301250000000004E-2</v>
      </c>
      <c r="AR32" s="137">
        <f t="shared" si="9"/>
        <v>4.147588250013759E-2</v>
      </c>
      <c r="AS32" s="1">
        <f t="shared" si="10"/>
        <v>5.9279999999999999E-2</v>
      </c>
      <c r="AT32" s="133">
        <f t="shared" si="24"/>
        <v>4.8000000000000001E-2</v>
      </c>
      <c r="AU32" s="132">
        <f t="shared" si="25"/>
        <v>0.50882953209405746</v>
      </c>
      <c r="AV32" s="1">
        <f t="shared" si="26"/>
        <v>15</v>
      </c>
      <c r="AW32" s="133">
        <f t="shared" si="27"/>
        <v>96.719097782066115</v>
      </c>
    </row>
    <row r="33" spans="17:49" x14ac:dyDescent="0.25">
      <c r="Q33">
        <v>26</v>
      </c>
      <c r="R33" s="132">
        <f t="shared" si="0"/>
        <v>18</v>
      </c>
      <c r="S33" s="1">
        <f t="shared" si="1"/>
        <v>0.8666666666666667</v>
      </c>
      <c r="T33" s="1">
        <f t="shared" si="2"/>
        <v>12</v>
      </c>
      <c r="U33" s="133">
        <f t="shared" si="11"/>
        <v>1.3</v>
      </c>
      <c r="V33" s="132">
        <f>IF(Calculations!$B$17=3,2,IF((S33*R33/T33)&lt;((T33*(1-(T33/R33)))/(2*Lm*fsw)),1,2))</f>
        <v>2</v>
      </c>
      <c r="W33" s="1">
        <f t="shared" si="12"/>
        <v>0.33333333333333337</v>
      </c>
      <c r="X33" s="133">
        <f t="shared" si="3"/>
        <v>0.66666666666666663</v>
      </c>
      <c r="Y33" s="132">
        <f t="shared" si="4"/>
        <v>1.6</v>
      </c>
      <c r="Z33" s="1">
        <f t="shared" si="13"/>
        <v>2.1</v>
      </c>
      <c r="AA33" s="1">
        <f t="shared" si="14"/>
        <v>1.3796134724383253</v>
      </c>
      <c r="AB33" s="1">
        <v>0</v>
      </c>
      <c r="AC33" s="1">
        <f t="shared" si="15"/>
        <v>3.1405000000000009E-2</v>
      </c>
      <c r="AD33" s="133">
        <f t="shared" si="16"/>
        <v>3.1405000000000009E-2</v>
      </c>
      <c r="AE33" s="132">
        <f t="shared" si="28"/>
        <v>0.4333333333333334</v>
      </c>
      <c r="AF33" s="1">
        <f t="shared" si="17"/>
        <v>0.79652020968990134</v>
      </c>
      <c r="AG33" s="1">
        <f t="shared" si="5"/>
        <v>1.2688888888888888E-2</v>
      </c>
      <c r="AH33" s="1">
        <f t="shared" si="18"/>
        <v>7.4201685577676701E-2</v>
      </c>
      <c r="AI33" s="133">
        <f t="shared" si="19"/>
        <v>8.689057446656559E-2</v>
      </c>
      <c r="AJ33" s="132">
        <f t="shared" si="20"/>
        <v>0.8666666666666667</v>
      </c>
      <c r="AK33" s="1">
        <f t="shared" si="21"/>
        <v>1.12644968324772</v>
      </c>
      <c r="AL33" s="1">
        <f t="shared" si="6"/>
        <v>2.5377777777777777E-2</v>
      </c>
      <c r="AM33" s="1">
        <f t="shared" si="22"/>
        <v>0.15427500000000002</v>
      </c>
      <c r="AN33" s="136">
        <f t="shared" si="29"/>
        <v>2.9400000000000003E-2</v>
      </c>
      <c r="AO33" s="133">
        <f t="shared" si="23"/>
        <v>0.20905277777777781</v>
      </c>
      <c r="AP33" s="132">
        <f t="shared" si="7"/>
        <v>1.2466833333333335E-2</v>
      </c>
      <c r="AQ33" s="137">
        <f t="shared" si="8"/>
        <v>3.1405000000000009E-2</v>
      </c>
      <c r="AR33" s="137">
        <f t="shared" si="9"/>
        <v>4.147588250013759E-2</v>
      </c>
      <c r="AS33" s="1">
        <f t="shared" si="10"/>
        <v>5.9279999999999999E-2</v>
      </c>
      <c r="AT33" s="133">
        <f t="shared" si="24"/>
        <v>4.8000000000000001E-2</v>
      </c>
      <c r="AU33" s="132">
        <f t="shared" si="25"/>
        <v>0.51997606807781438</v>
      </c>
      <c r="AV33" s="1">
        <f t="shared" si="26"/>
        <v>15.600000000000001</v>
      </c>
      <c r="AW33" s="133">
        <f t="shared" si="27"/>
        <v>96.774337220589828</v>
      </c>
    </row>
    <row r="34" spans="17:49" x14ac:dyDescent="0.25">
      <c r="Q34">
        <v>27</v>
      </c>
      <c r="R34" s="132">
        <f t="shared" si="0"/>
        <v>18</v>
      </c>
      <c r="S34" s="1">
        <f t="shared" si="1"/>
        <v>0.9</v>
      </c>
      <c r="T34" s="1">
        <f t="shared" si="2"/>
        <v>12</v>
      </c>
      <c r="U34" s="133">
        <f t="shared" si="11"/>
        <v>1.3499999999999999</v>
      </c>
      <c r="V34" s="132">
        <f>IF(Calculations!$B$17=3,2,IF((S34*R34/T34)&lt;((T34*(1-(T34/R34)))/(2*Lm*fsw)),1,2))</f>
        <v>2</v>
      </c>
      <c r="W34" s="1">
        <f t="shared" si="12"/>
        <v>0.33333333333333337</v>
      </c>
      <c r="X34" s="133">
        <f t="shared" si="3"/>
        <v>0.66666666666666663</v>
      </c>
      <c r="Y34" s="132">
        <f t="shared" si="4"/>
        <v>1.6</v>
      </c>
      <c r="Z34" s="1">
        <f t="shared" si="13"/>
        <v>2.15</v>
      </c>
      <c r="AA34" s="1">
        <f t="shared" si="14"/>
        <v>1.4268263150549658</v>
      </c>
      <c r="AB34" s="1">
        <v>0</v>
      </c>
      <c r="AC34" s="1">
        <f t="shared" si="15"/>
        <v>3.3591249999999989E-2</v>
      </c>
      <c r="AD34" s="133">
        <f t="shared" si="16"/>
        <v>3.3591249999999989E-2</v>
      </c>
      <c r="AE34" s="132">
        <f t="shared" si="28"/>
        <v>0.45</v>
      </c>
      <c r="AF34" s="1">
        <f t="shared" si="17"/>
        <v>0.82377855708382652</v>
      </c>
      <c r="AG34" s="1">
        <f t="shared" si="5"/>
        <v>1.3572222222222225E-2</v>
      </c>
      <c r="AH34" s="1">
        <f t="shared" si="18"/>
        <v>7.7055596561433473E-2</v>
      </c>
      <c r="AI34" s="133">
        <f t="shared" si="19"/>
        <v>9.0627818783655695E-2</v>
      </c>
      <c r="AJ34" s="132">
        <f t="shared" si="20"/>
        <v>0.89999999999999991</v>
      </c>
      <c r="AK34" s="1">
        <f t="shared" si="21"/>
        <v>1.1649988078200861</v>
      </c>
      <c r="AL34" s="1">
        <f t="shared" si="6"/>
        <v>2.714444444444444E-2</v>
      </c>
      <c r="AM34" s="1">
        <f t="shared" si="22"/>
        <v>0.15427500000000002</v>
      </c>
      <c r="AN34" s="136">
        <f t="shared" si="29"/>
        <v>3.0099999999999998E-2</v>
      </c>
      <c r="AO34" s="133">
        <f t="shared" si="23"/>
        <v>0.21151944444444445</v>
      </c>
      <c r="AP34" s="132">
        <f t="shared" si="7"/>
        <v>1.3334708333333329E-2</v>
      </c>
      <c r="AQ34" s="137">
        <f t="shared" si="8"/>
        <v>3.3591249999999989E-2</v>
      </c>
      <c r="AR34" s="137">
        <f t="shared" si="9"/>
        <v>4.147588250013759E-2</v>
      </c>
      <c r="AS34" s="1">
        <f t="shared" si="10"/>
        <v>5.9279999999999999E-2</v>
      </c>
      <c r="AT34" s="133">
        <f t="shared" si="24"/>
        <v>4.8000000000000001E-2</v>
      </c>
      <c r="AU34" s="132">
        <f t="shared" si="25"/>
        <v>0.53142035406157107</v>
      </c>
      <c r="AV34" s="1">
        <f t="shared" si="26"/>
        <v>16.2</v>
      </c>
      <c r="AW34" s="133">
        <f t="shared" si="27"/>
        <v>96.823818045235072</v>
      </c>
    </row>
    <row r="35" spans="17:49" x14ac:dyDescent="0.25">
      <c r="Q35">
        <v>28</v>
      </c>
      <c r="R35" s="132">
        <f t="shared" si="0"/>
        <v>18</v>
      </c>
      <c r="S35" s="1">
        <f t="shared" si="1"/>
        <v>0.93333333333333335</v>
      </c>
      <c r="T35" s="1">
        <f t="shared" si="2"/>
        <v>12</v>
      </c>
      <c r="U35" s="133">
        <f t="shared" si="11"/>
        <v>1.4000000000000001</v>
      </c>
      <c r="V35" s="132">
        <f>IF(Calculations!$B$17=3,2,IF((S35*R35/T35)&lt;((T35*(1-(T35/R35)))/(2*Lm*fsw)),1,2))</f>
        <v>2</v>
      </c>
      <c r="W35" s="1">
        <f t="shared" si="12"/>
        <v>0.33333333333333337</v>
      </c>
      <c r="X35" s="133">
        <f t="shared" si="3"/>
        <v>0.66666666666666663</v>
      </c>
      <c r="Y35" s="132">
        <f t="shared" si="4"/>
        <v>1.6</v>
      </c>
      <c r="Z35" s="1">
        <f t="shared" si="13"/>
        <v>2.2000000000000002</v>
      </c>
      <c r="AA35" s="1">
        <f t="shared" si="14"/>
        <v>1.4742229591663989</v>
      </c>
      <c r="AB35" s="1">
        <v>0</v>
      </c>
      <c r="AC35" s="1">
        <f t="shared" si="15"/>
        <v>3.586000000000001E-2</v>
      </c>
      <c r="AD35" s="133">
        <f t="shared" si="16"/>
        <v>3.586000000000001E-2</v>
      </c>
      <c r="AE35" s="132">
        <f t="shared" si="28"/>
        <v>0.46666666666666679</v>
      </c>
      <c r="AF35" s="1">
        <f t="shared" si="17"/>
        <v>0.85114302232024708</v>
      </c>
      <c r="AG35" s="1">
        <f t="shared" si="5"/>
        <v>1.4488888888888893E-2</v>
      </c>
      <c r="AH35" s="1">
        <f t="shared" si="18"/>
        <v>7.99095075451903E-2</v>
      </c>
      <c r="AI35" s="133">
        <f t="shared" si="19"/>
        <v>9.4398396434079199E-2</v>
      </c>
      <c r="AJ35" s="132">
        <f t="shared" si="20"/>
        <v>0.93333333333333335</v>
      </c>
      <c r="AK35" s="1">
        <f t="shared" si="21"/>
        <v>1.2036980056845192</v>
      </c>
      <c r="AL35" s="1">
        <f t="shared" si="6"/>
        <v>2.8977777777777779E-2</v>
      </c>
      <c r="AM35" s="1">
        <f t="shared" si="22"/>
        <v>0.15427500000000002</v>
      </c>
      <c r="AN35" s="136">
        <f t="shared" si="29"/>
        <v>3.0800000000000004E-2</v>
      </c>
      <c r="AO35" s="133">
        <f t="shared" si="23"/>
        <v>0.21405277777777779</v>
      </c>
      <c r="AP35" s="132">
        <f t="shared" si="7"/>
        <v>1.4235333333333334E-2</v>
      </c>
      <c r="AQ35" s="137">
        <f t="shared" si="8"/>
        <v>3.586000000000001E-2</v>
      </c>
      <c r="AR35" s="137">
        <f t="shared" si="9"/>
        <v>4.147588250013759E-2</v>
      </c>
      <c r="AS35" s="1">
        <f t="shared" si="10"/>
        <v>5.9279999999999999E-2</v>
      </c>
      <c r="AT35" s="133">
        <f t="shared" si="24"/>
        <v>4.8000000000000001E-2</v>
      </c>
      <c r="AU35" s="132">
        <f t="shared" si="25"/>
        <v>0.54316239004532785</v>
      </c>
      <c r="AV35" s="1">
        <f t="shared" si="26"/>
        <v>16.8</v>
      </c>
      <c r="AW35" s="133">
        <f t="shared" si="27"/>
        <v>96.86814677836901</v>
      </c>
    </row>
    <row r="36" spans="17:49" x14ac:dyDescent="0.25">
      <c r="Q36">
        <v>29</v>
      </c>
      <c r="R36" s="132">
        <f t="shared" si="0"/>
        <v>18</v>
      </c>
      <c r="S36" s="1">
        <f t="shared" si="1"/>
        <v>0.96666666666666667</v>
      </c>
      <c r="T36" s="1">
        <f t="shared" si="2"/>
        <v>12</v>
      </c>
      <c r="U36" s="133">
        <f t="shared" si="11"/>
        <v>1.45</v>
      </c>
      <c r="V36" s="132">
        <f>IF(Calculations!$B$17=3,2,IF((S36*R36/T36)&lt;((T36*(1-(T36/R36)))/(2*Lm*fsw)),1,2))</f>
        <v>2</v>
      </c>
      <c r="W36" s="1">
        <f t="shared" si="12"/>
        <v>0.33333333333333337</v>
      </c>
      <c r="X36" s="133">
        <f t="shared" si="3"/>
        <v>0.66666666666666663</v>
      </c>
      <c r="Y36" s="132">
        <f t="shared" si="4"/>
        <v>1.6</v>
      </c>
      <c r="Z36" s="1">
        <f t="shared" si="13"/>
        <v>2.25</v>
      </c>
      <c r="AA36" s="1">
        <f t="shared" si="14"/>
        <v>1.5217862311551296</v>
      </c>
      <c r="AB36" s="1">
        <v>0</v>
      </c>
      <c r="AC36" s="1">
        <f t="shared" si="15"/>
        <v>3.8211250000000002E-2</v>
      </c>
      <c r="AD36" s="133">
        <f t="shared" si="16"/>
        <v>3.8211250000000002E-2</v>
      </c>
      <c r="AE36" s="132">
        <f t="shared" si="28"/>
        <v>0.48333333333333339</v>
      </c>
      <c r="AF36" s="1">
        <f t="shared" si="17"/>
        <v>0.8786036902064801</v>
      </c>
      <c r="AG36" s="1">
        <f t="shared" si="5"/>
        <v>1.5438888888888889E-2</v>
      </c>
      <c r="AH36" s="1">
        <f t="shared" si="18"/>
        <v>8.2763418528947072E-2</v>
      </c>
      <c r="AI36" s="133">
        <f t="shared" si="19"/>
        <v>9.8202307417835963E-2</v>
      </c>
      <c r="AJ36" s="132">
        <f t="shared" si="20"/>
        <v>0.96666666666666656</v>
      </c>
      <c r="AK36" s="1">
        <f t="shared" si="21"/>
        <v>1.2425332546410535</v>
      </c>
      <c r="AL36" s="1">
        <f t="shared" si="6"/>
        <v>3.0877777777777782E-2</v>
      </c>
      <c r="AM36" s="1">
        <f t="shared" si="22"/>
        <v>0.15427500000000002</v>
      </c>
      <c r="AN36" s="136">
        <f t="shared" si="29"/>
        <v>3.15E-2</v>
      </c>
      <c r="AO36" s="133">
        <f t="shared" si="23"/>
        <v>0.21665277777777781</v>
      </c>
      <c r="AP36" s="132">
        <f t="shared" si="7"/>
        <v>1.5168708333333333E-2</v>
      </c>
      <c r="AQ36" s="137">
        <f t="shared" si="8"/>
        <v>3.8211250000000002E-2</v>
      </c>
      <c r="AR36" s="137">
        <f t="shared" si="9"/>
        <v>4.147588250013759E-2</v>
      </c>
      <c r="AS36" s="1">
        <f t="shared" si="10"/>
        <v>5.9279999999999999E-2</v>
      </c>
      <c r="AT36" s="133">
        <f t="shared" si="24"/>
        <v>4.8000000000000001E-2</v>
      </c>
      <c r="AU36" s="132">
        <f t="shared" si="25"/>
        <v>0.55520217602908462</v>
      </c>
      <c r="AV36" s="1">
        <f t="shared" si="26"/>
        <v>17.399999999999999</v>
      </c>
      <c r="AW36" s="133">
        <f t="shared" si="27"/>
        <v>96.907847817106159</v>
      </c>
    </row>
    <row r="37" spans="17:49" x14ac:dyDescent="0.25">
      <c r="Q37">
        <v>30</v>
      </c>
      <c r="R37" s="132">
        <f t="shared" si="0"/>
        <v>18</v>
      </c>
      <c r="S37" s="1">
        <f t="shared" si="1"/>
        <v>1</v>
      </c>
      <c r="T37" s="1">
        <f t="shared" si="2"/>
        <v>12</v>
      </c>
      <c r="U37" s="133">
        <f t="shared" si="11"/>
        <v>1.5</v>
      </c>
      <c r="V37" s="132">
        <f>IF(Calculations!$B$17=3,2,IF((S37*R37/T37)&lt;((T37*(1-(T37/R37)))/(2*Lm*fsw)),1,2))</f>
        <v>2</v>
      </c>
      <c r="W37" s="1">
        <f t="shared" si="12"/>
        <v>0.33333333333333337</v>
      </c>
      <c r="X37" s="133">
        <f t="shared" si="3"/>
        <v>0.66666666666666663</v>
      </c>
      <c r="Y37" s="132">
        <f t="shared" si="4"/>
        <v>1.6</v>
      </c>
      <c r="Z37" s="1">
        <f t="shared" si="13"/>
        <v>2.2999999999999998</v>
      </c>
      <c r="AA37" s="1">
        <f t="shared" si="14"/>
        <v>1.569500982265807</v>
      </c>
      <c r="AB37" s="1">
        <v>0</v>
      </c>
      <c r="AC37" s="1">
        <f t="shared" si="15"/>
        <v>4.0644999999999994E-2</v>
      </c>
      <c r="AD37" s="133">
        <f t="shared" si="16"/>
        <v>4.0644999999999994E-2</v>
      </c>
      <c r="AE37" s="132">
        <f t="shared" si="28"/>
        <v>0.5</v>
      </c>
      <c r="AF37" s="1">
        <f t="shared" si="17"/>
        <v>0.90615181460454575</v>
      </c>
      <c r="AG37" s="1">
        <f t="shared" si="5"/>
        <v>1.642222222222222E-2</v>
      </c>
      <c r="AH37" s="1">
        <f t="shared" si="18"/>
        <v>8.5617329512703885E-2</v>
      </c>
      <c r="AI37" s="133">
        <f t="shared" si="19"/>
        <v>0.1020395517349261</v>
      </c>
      <c r="AJ37" s="132">
        <f t="shared" si="20"/>
        <v>1</v>
      </c>
      <c r="AK37" s="1">
        <f t="shared" si="21"/>
        <v>1.2814921857827388</v>
      </c>
      <c r="AL37" s="1">
        <f t="shared" si="6"/>
        <v>3.2844444444444433E-2</v>
      </c>
      <c r="AM37" s="1">
        <f t="shared" si="22"/>
        <v>0.15427500000000002</v>
      </c>
      <c r="AN37" s="136">
        <f t="shared" si="29"/>
        <v>3.2199999999999999E-2</v>
      </c>
      <c r="AO37" s="133">
        <f t="shared" si="23"/>
        <v>0.21931944444444446</v>
      </c>
      <c r="AP37" s="132">
        <f t="shared" si="7"/>
        <v>1.6134833333333331E-2</v>
      </c>
      <c r="AQ37" s="137">
        <f t="shared" si="8"/>
        <v>4.0644999999999994E-2</v>
      </c>
      <c r="AR37" s="137">
        <f t="shared" si="9"/>
        <v>4.147588250013759E-2</v>
      </c>
      <c r="AS37" s="1">
        <f t="shared" si="10"/>
        <v>5.9279999999999999E-2</v>
      </c>
      <c r="AT37" s="133">
        <f t="shared" si="24"/>
        <v>4.8000000000000001E-2</v>
      </c>
      <c r="AU37" s="132">
        <f t="shared" si="25"/>
        <v>0.56753971201284148</v>
      </c>
      <c r="AV37" s="1">
        <f t="shared" si="26"/>
        <v>18</v>
      </c>
      <c r="AW37" s="133">
        <f t="shared" si="27"/>
        <v>96.943376878059652</v>
      </c>
    </row>
    <row r="38" spans="17:49" x14ac:dyDescent="0.25">
      <c r="Q38">
        <v>31</v>
      </c>
      <c r="R38" s="132">
        <f t="shared" si="0"/>
        <v>18</v>
      </c>
      <c r="S38" s="1">
        <f t="shared" si="1"/>
        <v>1.0333333333333332</v>
      </c>
      <c r="T38" s="1">
        <f t="shared" si="2"/>
        <v>12</v>
      </c>
      <c r="U38" s="133">
        <f t="shared" si="11"/>
        <v>1.5499999999999998</v>
      </c>
      <c r="V38" s="132">
        <f>IF(Calculations!$B$17=3,2,IF((S38*R38/T38)&lt;((T38*(1-(T38/R38)))/(2*Lm*fsw)),1,2))</f>
        <v>2</v>
      </c>
      <c r="W38" s="1">
        <f t="shared" si="12"/>
        <v>0.33333333333333337</v>
      </c>
      <c r="X38" s="133">
        <f t="shared" si="3"/>
        <v>0.66666666666666663</v>
      </c>
      <c r="Y38" s="132">
        <f t="shared" si="4"/>
        <v>1.6</v>
      </c>
      <c r="Z38" s="1">
        <f t="shared" si="13"/>
        <v>2.3499999999999996</v>
      </c>
      <c r="AA38" s="1">
        <f t="shared" si="14"/>
        <v>1.6173538058610839</v>
      </c>
      <c r="AB38" s="1">
        <v>0</v>
      </c>
      <c r="AC38" s="1">
        <f t="shared" si="15"/>
        <v>4.3161249999999991E-2</v>
      </c>
      <c r="AD38" s="133">
        <f t="shared" si="16"/>
        <v>4.3161249999999991E-2</v>
      </c>
      <c r="AE38" s="132">
        <f t="shared" si="28"/>
        <v>0.51666666666666672</v>
      </c>
      <c r="AF38" s="1">
        <f t="shared" si="17"/>
        <v>0.93377965518876249</v>
      </c>
      <c r="AG38" s="1">
        <f t="shared" si="5"/>
        <v>1.7438888888888886E-2</v>
      </c>
      <c r="AH38" s="1">
        <f t="shared" si="18"/>
        <v>8.8471240496460671E-2</v>
      </c>
      <c r="AI38" s="133">
        <f t="shared" si="19"/>
        <v>0.10591012938534955</v>
      </c>
      <c r="AJ38" s="132">
        <f t="shared" si="20"/>
        <v>1.0333333333333332</v>
      </c>
      <c r="AK38" s="1">
        <f t="shared" si="21"/>
        <v>1.3205638526360199</v>
      </c>
      <c r="AL38" s="1">
        <f t="shared" si="6"/>
        <v>3.4877777777777758E-2</v>
      </c>
      <c r="AM38" s="1">
        <f t="shared" si="22"/>
        <v>0.15427500000000002</v>
      </c>
      <c r="AN38" s="136">
        <f t="shared" si="29"/>
        <v>3.2899999999999999E-2</v>
      </c>
      <c r="AO38" s="133">
        <f t="shared" si="23"/>
        <v>0.22205277777777777</v>
      </c>
      <c r="AP38" s="132">
        <f t="shared" si="7"/>
        <v>1.7133708333333327E-2</v>
      </c>
      <c r="AQ38" s="137">
        <f t="shared" si="8"/>
        <v>4.3161249999999991E-2</v>
      </c>
      <c r="AR38" s="137">
        <f t="shared" si="9"/>
        <v>4.147588250013759E-2</v>
      </c>
      <c r="AS38" s="1">
        <f t="shared" si="10"/>
        <v>5.9279999999999999E-2</v>
      </c>
      <c r="AT38" s="133">
        <f t="shared" si="24"/>
        <v>4.8000000000000001E-2</v>
      </c>
      <c r="AU38" s="132">
        <f t="shared" si="25"/>
        <v>0.58017499799659822</v>
      </c>
      <c r="AV38" s="1">
        <f t="shared" si="26"/>
        <v>18.599999999999998</v>
      </c>
      <c r="AW38" s="133">
        <f t="shared" si="27"/>
        <v>96.975131884577721</v>
      </c>
    </row>
    <row r="39" spans="17:49" x14ac:dyDescent="0.25">
      <c r="Q39">
        <v>32</v>
      </c>
      <c r="R39" s="132">
        <f t="shared" si="0"/>
        <v>18</v>
      </c>
      <c r="S39" s="1">
        <f t="shared" si="1"/>
        <v>1.0666666666666667</v>
      </c>
      <c r="T39" s="1">
        <f t="shared" ref="T39:T70" si="30">Vin_vari</f>
        <v>12</v>
      </c>
      <c r="U39" s="133">
        <f t="shared" ref="U39:U70" si="31">(R39*S39)/(T39*EFF_est)</f>
        <v>1.5999999999999999</v>
      </c>
      <c r="V39" s="132">
        <f>IF(Calculations!$B$17=3,2,IF((S39*R39/T39)&lt;((T39*(1-(T39/R39)))/(2*Lm*fsw)),1,2))</f>
        <v>2</v>
      </c>
      <c r="W39" s="1">
        <f t="shared" ref="W39:W70" si="32">CHOOSE(V39,SQRT((2*S39*Lm*fsw*(R39-T39))/((T39)^2)),1-(T39/R39))</f>
        <v>0.33333333333333337</v>
      </c>
      <c r="X39" s="133">
        <f t="shared" ref="X39:X70" si="33">CHOOSE(V39,(Lm*Z39*fsw)/(R39-T39),1-W39)</f>
        <v>0.66666666666666663</v>
      </c>
      <c r="Y39" s="132">
        <f t="shared" ref="Y39:Y70" si="34">(T39*W39)/(Lm*fsw)</f>
        <v>1.6</v>
      </c>
      <c r="Z39" s="1">
        <f t="shared" si="13"/>
        <v>2.4</v>
      </c>
      <c r="AA39" s="1">
        <f t="shared" si="14"/>
        <v>1.6653327995729061</v>
      </c>
      <c r="AB39" s="1">
        <v>0</v>
      </c>
      <c r="AC39" s="1">
        <f t="shared" ref="AC39:AC70" si="35">(AA39^2)*Rdcr</f>
        <v>4.5759999999999995E-2</v>
      </c>
      <c r="AD39" s="133">
        <f t="shared" si="16"/>
        <v>4.5759999999999995E-2</v>
      </c>
      <c r="AE39" s="132">
        <f t="shared" si="28"/>
        <v>0.53333333333333333</v>
      </c>
      <c r="AF39" s="1">
        <f t="shared" si="17"/>
        <v>0.96148034012373063</v>
      </c>
      <c r="AG39" s="1">
        <f t="shared" ref="AG39:AG70" si="36">(AF39^2)*RDS_on</f>
        <v>1.8488888888888895E-2</v>
      </c>
      <c r="AH39" s="1">
        <f t="shared" ref="AH39:AH70" si="37">((R39*U39)/2)*fsw*(tr_sw+tf_sw)</f>
        <v>9.1325151480217456E-2</v>
      </c>
      <c r="AI39" s="133">
        <f t="shared" si="19"/>
        <v>0.10981404036910636</v>
      </c>
      <c r="AJ39" s="132">
        <f t="shared" si="20"/>
        <v>1.0666666666666664</v>
      </c>
      <c r="AK39" s="1">
        <f t="shared" si="21"/>
        <v>1.3597385369580759</v>
      </c>
      <c r="AL39" s="1">
        <f t="shared" ref="AL39:AL70" si="38">(AK39^2)*RDS_on_HS</f>
        <v>3.6977777777777776E-2</v>
      </c>
      <c r="AM39" s="1">
        <f t="shared" si="22"/>
        <v>0.15427500000000002</v>
      </c>
      <c r="AN39" s="136">
        <f t="shared" ref="AN39:AN70" si="39">Vd_rect*t_dead*fsw*Z39</f>
        <v>3.3599999999999998E-2</v>
      </c>
      <c r="AO39" s="133">
        <f t="shared" si="23"/>
        <v>0.22485277777777779</v>
      </c>
      <c r="AP39" s="132">
        <f t="shared" ref="AP39:AP70" si="40">(AA39^2)*Rcs</f>
        <v>1.8165333333333328E-2</v>
      </c>
      <c r="AQ39" s="137">
        <f t="shared" ref="AQ39:AQ70" si="41">Rdcr*AA39^2</f>
        <v>4.5759999999999995E-2</v>
      </c>
      <c r="AR39" s="137">
        <f t="shared" ref="AR39:AR70" si="42">ABS(7.759*10^-3*fsw^0.9458*(0.00787*Y39)^2.304)</f>
        <v>4.147588250013759E-2</v>
      </c>
      <c r="AS39" s="1">
        <f t="shared" ref="AS39:AS70" si="43">(Qg_tot+Qg_tot_HS)*VCC*fsw</f>
        <v>5.9279999999999999E-2</v>
      </c>
      <c r="AT39" s="133">
        <f t="shared" ref="AT39:AT70" si="44">IQ*T39</f>
        <v>4.8000000000000001E-2</v>
      </c>
      <c r="AU39" s="132">
        <f t="shared" si="25"/>
        <v>0.59310803398035516</v>
      </c>
      <c r="AV39" s="1">
        <f t="shared" si="26"/>
        <v>19.2</v>
      </c>
      <c r="AW39" s="133">
        <f t="shared" si="27"/>
        <v>97.00346184660782</v>
      </c>
    </row>
    <row r="40" spans="17:49" x14ac:dyDescent="0.25">
      <c r="Q40">
        <v>33</v>
      </c>
      <c r="R40" s="132">
        <f t="shared" si="0"/>
        <v>18</v>
      </c>
      <c r="S40" s="1">
        <f t="shared" si="1"/>
        <v>1.1000000000000001</v>
      </c>
      <c r="T40" s="1">
        <f t="shared" si="30"/>
        <v>12</v>
      </c>
      <c r="U40" s="133">
        <f t="shared" si="31"/>
        <v>1.6500000000000001</v>
      </c>
      <c r="V40" s="132">
        <f>IF(Calculations!$B$17=3,2,IF((S40*R40/T40)&lt;((T40*(1-(T40/R40)))/(2*Lm*fsw)),1,2))</f>
        <v>2</v>
      </c>
      <c r="W40" s="1">
        <f t="shared" si="32"/>
        <v>0.33333333333333337</v>
      </c>
      <c r="X40" s="133">
        <f t="shared" si="33"/>
        <v>0.66666666666666663</v>
      </c>
      <c r="Y40" s="132">
        <f t="shared" si="34"/>
        <v>1.6</v>
      </c>
      <c r="Z40" s="1">
        <f t="shared" si="13"/>
        <v>2.4500000000000002</v>
      </c>
      <c r="AA40" s="1">
        <f t="shared" si="14"/>
        <v>1.7134273644754638</v>
      </c>
      <c r="AB40" s="1">
        <v>0</v>
      </c>
      <c r="AC40" s="1">
        <f t="shared" si="35"/>
        <v>4.8441250000000012E-2</v>
      </c>
      <c r="AD40" s="133">
        <f t="shared" si="16"/>
        <v>4.8441250000000012E-2</v>
      </c>
      <c r="AE40" s="132">
        <f t="shared" si="28"/>
        <v>0.55000000000000016</v>
      </c>
      <c r="AF40" s="1">
        <f t="shared" si="17"/>
        <v>0.98924775011678012</v>
      </c>
      <c r="AG40" s="1">
        <f t="shared" si="36"/>
        <v>1.957222222222223E-2</v>
      </c>
      <c r="AH40" s="1">
        <f t="shared" si="37"/>
        <v>9.4179062463974283E-2</v>
      </c>
      <c r="AI40" s="133">
        <f t="shared" si="19"/>
        <v>0.11375128468619651</v>
      </c>
      <c r="AJ40" s="132">
        <f t="shared" si="20"/>
        <v>1.1000000000000001</v>
      </c>
      <c r="AK40" s="1">
        <f t="shared" si="21"/>
        <v>1.399007584762221</v>
      </c>
      <c r="AL40" s="1">
        <f t="shared" si="38"/>
        <v>3.9144444444444461E-2</v>
      </c>
      <c r="AM40" s="1">
        <f t="shared" ref="AM40:AM71" si="45">CHOOSE(V40,(R40+Vd_rect)*Qrr*fsw,(R40+Vd_rect)*Qrr*fsw)</f>
        <v>0.15427500000000002</v>
      </c>
      <c r="AN40" s="136">
        <f t="shared" si="39"/>
        <v>3.4300000000000004E-2</v>
      </c>
      <c r="AO40" s="133">
        <f t="shared" si="23"/>
        <v>0.22771944444444447</v>
      </c>
      <c r="AP40" s="132">
        <f t="shared" si="40"/>
        <v>1.9229708333333335E-2</v>
      </c>
      <c r="AQ40" s="137">
        <f t="shared" si="41"/>
        <v>4.8441250000000012E-2</v>
      </c>
      <c r="AR40" s="137">
        <f t="shared" si="42"/>
        <v>4.147588250013759E-2</v>
      </c>
      <c r="AS40" s="1">
        <f t="shared" si="43"/>
        <v>5.9279999999999999E-2</v>
      </c>
      <c r="AT40" s="133">
        <f t="shared" si="44"/>
        <v>4.8000000000000001E-2</v>
      </c>
      <c r="AU40" s="132">
        <f t="shared" si="25"/>
        <v>0.60633881996411187</v>
      </c>
      <c r="AV40" s="1">
        <f t="shared" si="26"/>
        <v>19.8</v>
      </c>
      <c r="AW40" s="133">
        <f t="shared" si="27"/>
        <v>97.028674152117318</v>
      </c>
    </row>
    <row r="41" spans="17:49" x14ac:dyDescent="0.25">
      <c r="Q41">
        <v>34</v>
      </c>
      <c r="R41" s="132">
        <f t="shared" si="0"/>
        <v>18</v>
      </c>
      <c r="S41" s="1">
        <f t="shared" si="1"/>
        <v>1.1333333333333333</v>
      </c>
      <c r="T41" s="1">
        <f t="shared" si="30"/>
        <v>12</v>
      </c>
      <c r="U41" s="133">
        <f t="shared" si="31"/>
        <v>1.7</v>
      </c>
      <c r="V41" s="132">
        <f>IF(Calculations!$B$17=3,2,IF((S41*R41/T41)&lt;((T41*(1-(T41/R41)))/(2*Lm*fsw)),1,2))</f>
        <v>2</v>
      </c>
      <c r="W41" s="1">
        <f t="shared" si="32"/>
        <v>0.33333333333333337</v>
      </c>
      <c r="X41" s="133">
        <f t="shared" si="33"/>
        <v>0.66666666666666663</v>
      </c>
      <c r="Y41" s="132">
        <f t="shared" si="34"/>
        <v>1.6</v>
      </c>
      <c r="Z41" s="1">
        <f t="shared" si="13"/>
        <v>2.5</v>
      </c>
      <c r="AA41" s="1">
        <f t="shared" si="14"/>
        <v>1.7616280348965081</v>
      </c>
      <c r="AB41" s="1">
        <v>0</v>
      </c>
      <c r="AC41" s="1">
        <f t="shared" si="35"/>
        <v>5.1204999999999994E-2</v>
      </c>
      <c r="AD41" s="133">
        <f t="shared" si="16"/>
        <v>5.1204999999999994E-2</v>
      </c>
      <c r="AE41" s="132">
        <f t="shared" si="28"/>
        <v>0.56666666666666676</v>
      </c>
      <c r="AF41" s="1">
        <f t="shared" si="17"/>
        <v>1.0170764201594906</v>
      </c>
      <c r="AG41" s="1">
        <f t="shared" si="36"/>
        <v>2.0688888888888896E-2</v>
      </c>
      <c r="AH41" s="1">
        <f t="shared" si="37"/>
        <v>9.7032973447731055E-2</v>
      </c>
      <c r="AI41" s="133">
        <f t="shared" si="19"/>
        <v>0.11772186233661995</v>
      </c>
      <c r="AJ41" s="132">
        <f t="shared" si="20"/>
        <v>1.1333333333333333</v>
      </c>
      <c r="AK41" s="1">
        <f t="shared" si="21"/>
        <v>1.4383632673594278</v>
      </c>
      <c r="AL41" s="1">
        <f t="shared" si="38"/>
        <v>4.137777777777777E-2</v>
      </c>
      <c r="AM41" s="1">
        <f t="shared" si="45"/>
        <v>0.15427500000000002</v>
      </c>
      <c r="AN41" s="136">
        <f t="shared" si="39"/>
        <v>3.5000000000000003E-2</v>
      </c>
      <c r="AO41" s="133">
        <f t="shared" si="23"/>
        <v>0.23065277777777779</v>
      </c>
      <c r="AP41" s="132">
        <f t="shared" si="40"/>
        <v>2.0326833333333325E-2</v>
      </c>
      <c r="AQ41" s="137">
        <f t="shared" si="41"/>
        <v>5.1204999999999994E-2</v>
      </c>
      <c r="AR41" s="137">
        <f t="shared" si="42"/>
        <v>4.147588250013759E-2</v>
      </c>
      <c r="AS41" s="1">
        <f t="shared" si="43"/>
        <v>5.9279999999999999E-2</v>
      </c>
      <c r="AT41" s="133">
        <f t="shared" si="44"/>
        <v>4.8000000000000001E-2</v>
      </c>
      <c r="AU41" s="132">
        <f t="shared" si="25"/>
        <v>0.61986735594786857</v>
      </c>
      <c r="AV41" s="1">
        <f t="shared" si="26"/>
        <v>20.399999999999999</v>
      </c>
      <c r="AW41" s="133">
        <f t="shared" si="27"/>
        <v>97.051040591973731</v>
      </c>
    </row>
    <row r="42" spans="17:49" x14ac:dyDescent="0.25">
      <c r="Q42">
        <v>35</v>
      </c>
      <c r="R42" s="132">
        <f t="shared" si="0"/>
        <v>18</v>
      </c>
      <c r="S42" s="1">
        <f t="shared" si="1"/>
        <v>1.1666666666666667</v>
      </c>
      <c r="T42" s="1">
        <f t="shared" si="30"/>
        <v>12</v>
      </c>
      <c r="U42" s="133">
        <f t="shared" si="31"/>
        <v>1.75</v>
      </c>
      <c r="V42" s="132">
        <f>IF(Calculations!$B$17=3,2,IF((S42*R42/T42)&lt;((T42*(1-(T42/R42)))/(2*Lm*fsw)),1,2))</f>
        <v>2</v>
      </c>
      <c r="W42" s="1">
        <f t="shared" si="32"/>
        <v>0.33333333333333337</v>
      </c>
      <c r="X42" s="133">
        <f t="shared" si="33"/>
        <v>0.66666666666666663</v>
      </c>
      <c r="Y42" s="132">
        <f t="shared" si="34"/>
        <v>1.6</v>
      </c>
      <c r="Z42" s="1">
        <f t="shared" si="13"/>
        <v>2.5499999999999998</v>
      </c>
      <c r="AA42" s="1">
        <f t="shared" si="14"/>
        <v>1.809926333675858</v>
      </c>
      <c r="AB42" s="1">
        <v>0</v>
      </c>
      <c r="AC42" s="1">
        <f t="shared" si="35"/>
        <v>5.4051250000000002E-2</v>
      </c>
      <c r="AD42" s="133">
        <f t="shared" si="16"/>
        <v>5.4051250000000002E-2</v>
      </c>
      <c r="AE42" s="132">
        <f t="shared" si="28"/>
        <v>0.58333333333333337</v>
      </c>
      <c r="AF42" s="1">
        <f t="shared" si="17"/>
        <v>1.0449614559611491</v>
      </c>
      <c r="AG42" s="1">
        <f t="shared" si="36"/>
        <v>2.1838888888888894E-2</v>
      </c>
      <c r="AH42" s="1">
        <f t="shared" si="37"/>
        <v>9.9886884431487855E-2</v>
      </c>
      <c r="AI42" s="133">
        <f t="shared" si="19"/>
        <v>0.12172577332037675</v>
      </c>
      <c r="AJ42" s="132">
        <f t="shared" si="20"/>
        <v>1.1666666666666665</v>
      </c>
      <c r="AK42" s="1">
        <f t="shared" si="21"/>
        <v>1.4777986631773925</v>
      </c>
      <c r="AL42" s="1">
        <f t="shared" si="38"/>
        <v>4.3677777777777767E-2</v>
      </c>
      <c r="AM42" s="1">
        <f t="shared" si="45"/>
        <v>0.15427500000000002</v>
      </c>
      <c r="AN42" s="136">
        <f t="shared" si="39"/>
        <v>3.5699999999999996E-2</v>
      </c>
      <c r="AO42" s="133">
        <f t="shared" si="23"/>
        <v>0.23365277777777776</v>
      </c>
      <c r="AP42" s="132">
        <f t="shared" si="40"/>
        <v>2.1456708333333331E-2</v>
      </c>
      <c r="AQ42" s="137">
        <f t="shared" si="41"/>
        <v>5.4051250000000002E-2</v>
      </c>
      <c r="AR42" s="137">
        <f t="shared" si="42"/>
        <v>4.147588250013759E-2</v>
      </c>
      <c r="AS42" s="1">
        <f t="shared" si="43"/>
        <v>5.9279999999999999E-2</v>
      </c>
      <c r="AT42" s="133">
        <f t="shared" si="44"/>
        <v>4.8000000000000001E-2</v>
      </c>
      <c r="AU42" s="132">
        <f t="shared" si="25"/>
        <v>0.63369364193162547</v>
      </c>
      <c r="AV42" s="1">
        <f t="shared" si="26"/>
        <v>21</v>
      </c>
      <c r="AW42" s="133">
        <f t="shared" si="27"/>
        <v>97.070802367731773</v>
      </c>
    </row>
    <row r="43" spans="17:49" x14ac:dyDescent="0.25">
      <c r="Q43">
        <v>36</v>
      </c>
      <c r="R43" s="132">
        <f t="shared" si="0"/>
        <v>18</v>
      </c>
      <c r="S43" s="1">
        <f t="shared" si="1"/>
        <v>1.2</v>
      </c>
      <c r="T43" s="1">
        <f t="shared" si="30"/>
        <v>12</v>
      </c>
      <c r="U43" s="133">
        <f t="shared" si="31"/>
        <v>1.7999999999999998</v>
      </c>
      <c r="V43" s="132">
        <f>IF(Calculations!$B$17=3,2,IF((S43*R43/T43)&lt;((T43*(1-(T43/R43)))/(2*Lm*fsw)),1,2))</f>
        <v>2</v>
      </c>
      <c r="W43" s="1">
        <f t="shared" si="32"/>
        <v>0.33333333333333337</v>
      </c>
      <c r="X43" s="133">
        <f t="shared" si="33"/>
        <v>0.66666666666666663</v>
      </c>
      <c r="Y43" s="132">
        <f t="shared" si="34"/>
        <v>1.6</v>
      </c>
      <c r="Z43" s="1">
        <f t="shared" si="13"/>
        <v>2.5999999999999996</v>
      </c>
      <c r="AA43" s="1">
        <f t="shared" si="14"/>
        <v>1.8583146486355138</v>
      </c>
      <c r="AB43" s="1">
        <v>0</v>
      </c>
      <c r="AC43" s="1">
        <f t="shared" si="35"/>
        <v>5.6980000000000003E-2</v>
      </c>
      <c r="AD43" s="133">
        <f t="shared" si="16"/>
        <v>5.6980000000000003E-2</v>
      </c>
      <c r="AE43" s="132">
        <f t="shared" si="28"/>
        <v>0.6</v>
      </c>
      <c r="AF43" s="1">
        <f t="shared" si="17"/>
        <v>1.0728984626287388</v>
      </c>
      <c r="AG43" s="1">
        <f t="shared" si="36"/>
        <v>2.3022222222222225E-2</v>
      </c>
      <c r="AH43" s="1">
        <f t="shared" si="37"/>
        <v>0.10274079541524465</v>
      </c>
      <c r="AI43" s="133">
        <f t="shared" si="19"/>
        <v>0.12576301763746689</v>
      </c>
      <c r="AJ43" s="132">
        <f t="shared" si="20"/>
        <v>1.1999999999999997</v>
      </c>
      <c r="AK43" s="1">
        <f t="shared" si="21"/>
        <v>1.5173075568988055</v>
      </c>
      <c r="AL43" s="1">
        <f t="shared" si="38"/>
        <v>4.6044444444444436E-2</v>
      </c>
      <c r="AM43" s="1">
        <f t="shared" si="45"/>
        <v>0.15427500000000002</v>
      </c>
      <c r="AN43" s="136">
        <f t="shared" si="39"/>
        <v>3.6399999999999995E-2</v>
      </c>
      <c r="AO43" s="133">
        <f t="shared" si="23"/>
        <v>0.23671944444444445</v>
      </c>
      <c r="AP43" s="132">
        <f t="shared" si="40"/>
        <v>2.2619333333333332E-2</v>
      </c>
      <c r="AQ43" s="137">
        <f t="shared" si="41"/>
        <v>5.6980000000000003E-2</v>
      </c>
      <c r="AR43" s="137">
        <f t="shared" si="42"/>
        <v>4.147588250013759E-2</v>
      </c>
      <c r="AS43" s="1">
        <f t="shared" si="43"/>
        <v>5.9279999999999999E-2</v>
      </c>
      <c r="AT43" s="133">
        <f t="shared" si="44"/>
        <v>4.8000000000000001E-2</v>
      </c>
      <c r="AU43" s="132">
        <f t="shared" si="25"/>
        <v>0.64781767791538236</v>
      </c>
      <c r="AV43" s="1">
        <f t="shared" si="26"/>
        <v>21.599999999999998</v>
      </c>
      <c r="AW43" s="133">
        <f t="shared" si="27"/>
        <v>97.088174277163162</v>
      </c>
    </row>
    <row r="44" spans="17:49" x14ac:dyDescent="0.25">
      <c r="Q44">
        <v>37</v>
      </c>
      <c r="R44" s="132">
        <f t="shared" si="0"/>
        <v>18</v>
      </c>
      <c r="S44" s="1">
        <f t="shared" si="1"/>
        <v>1.2333333333333334</v>
      </c>
      <c r="T44" s="1">
        <f t="shared" si="30"/>
        <v>12</v>
      </c>
      <c r="U44" s="133">
        <f t="shared" si="31"/>
        <v>1.8500000000000003</v>
      </c>
      <c r="V44" s="132">
        <f>IF(Calculations!$B$17=3,2,IF((S44*R44/T44)&lt;((T44*(1-(T44/R44)))/(2*Lm*fsw)),1,2))</f>
        <v>2</v>
      </c>
      <c r="W44" s="1">
        <f t="shared" si="32"/>
        <v>0.33333333333333337</v>
      </c>
      <c r="X44" s="133">
        <f t="shared" si="33"/>
        <v>0.66666666666666663</v>
      </c>
      <c r="Y44" s="132">
        <f t="shared" si="34"/>
        <v>1.6</v>
      </c>
      <c r="Z44" s="1">
        <f t="shared" si="13"/>
        <v>2.6500000000000004</v>
      </c>
      <c r="AA44" s="1">
        <f t="shared" si="14"/>
        <v>1.9067861267938087</v>
      </c>
      <c r="AB44" s="1">
        <v>0</v>
      </c>
      <c r="AC44" s="1">
        <f t="shared" si="35"/>
        <v>5.9991250000000024E-2</v>
      </c>
      <c r="AD44" s="133">
        <f t="shared" si="16"/>
        <v>5.9991250000000024E-2</v>
      </c>
      <c r="AE44" s="132">
        <f t="shared" si="28"/>
        <v>0.61666666666666681</v>
      </c>
      <c r="AF44" s="1">
        <f t="shared" si="17"/>
        <v>1.1008834835914494</v>
      </c>
      <c r="AG44" s="1">
        <f t="shared" si="36"/>
        <v>2.42388888888889E-2</v>
      </c>
      <c r="AH44" s="1">
        <f t="shared" si="37"/>
        <v>0.10559470639900147</v>
      </c>
      <c r="AI44" s="133">
        <f t="shared" si="19"/>
        <v>0.12983359528789037</v>
      </c>
      <c r="AJ44" s="132">
        <f t="shared" si="20"/>
        <v>1.2333333333333334</v>
      </c>
      <c r="AK44" s="1">
        <f t="shared" si="21"/>
        <v>1.5568843530875662</v>
      </c>
      <c r="AL44" s="1">
        <f t="shared" si="38"/>
        <v>4.8477777777777786E-2</v>
      </c>
      <c r="AM44" s="1">
        <f t="shared" si="45"/>
        <v>0.15427500000000002</v>
      </c>
      <c r="AN44" s="136">
        <f t="shared" si="39"/>
        <v>3.7100000000000008E-2</v>
      </c>
      <c r="AO44" s="133">
        <f t="shared" si="23"/>
        <v>0.2398527777777778</v>
      </c>
      <c r="AP44" s="132">
        <f t="shared" si="40"/>
        <v>2.3814708333333341E-2</v>
      </c>
      <c r="AQ44" s="137">
        <f t="shared" si="41"/>
        <v>5.9991250000000024E-2</v>
      </c>
      <c r="AR44" s="137">
        <f t="shared" si="42"/>
        <v>4.147588250013759E-2</v>
      </c>
      <c r="AS44" s="1">
        <f t="shared" si="43"/>
        <v>5.9279999999999999E-2</v>
      </c>
      <c r="AT44" s="133">
        <f t="shared" si="44"/>
        <v>4.8000000000000001E-2</v>
      </c>
      <c r="AU44" s="132">
        <f t="shared" si="25"/>
        <v>0.66223946389913924</v>
      </c>
      <c r="AV44" s="1">
        <f t="shared" si="26"/>
        <v>22.200000000000003</v>
      </c>
      <c r="AW44" s="133">
        <f t="shared" si="27"/>
        <v>97.103348230846507</v>
      </c>
    </row>
    <row r="45" spans="17:49" x14ac:dyDescent="0.25">
      <c r="Q45">
        <v>38</v>
      </c>
      <c r="R45" s="132">
        <f t="shared" si="0"/>
        <v>18</v>
      </c>
      <c r="S45" s="1">
        <f t="shared" si="1"/>
        <v>1.2666666666666666</v>
      </c>
      <c r="T45" s="1">
        <f t="shared" si="30"/>
        <v>12</v>
      </c>
      <c r="U45" s="133">
        <f t="shared" si="31"/>
        <v>1.8999999999999997</v>
      </c>
      <c r="V45" s="132">
        <f>IF(Calculations!$B$17=3,2,IF((S45*R45/T45)&lt;((T45*(1-(T45/R45)))/(2*Lm*fsw)),1,2))</f>
        <v>2</v>
      </c>
      <c r="W45" s="1">
        <f t="shared" si="32"/>
        <v>0.33333333333333337</v>
      </c>
      <c r="X45" s="133">
        <f t="shared" si="33"/>
        <v>0.66666666666666663</v>
      </c>
      <c r="Y45" s="132">
        <f t="shared" si="34"/>
        <v>1.6</v>
      </c>
      <c r="Z45" s="1">
        <f t="shared" si="13"/>
        <v>2.6999999999999997</v>
      </c>
      <c r="AA45" s="1">
        <f t="shared" si="14"/>
        <v>1.9553345834749951</v>
      </c>
      <c r="AB45" s="1">
        <v>0</v>
      </c>
      <c r="AC45" s="1">
        <f t="shared" si="35"/>
        <v>6.3084999999999988E-2</v>
      </c>
      <c r="AD45" s="133">
        <f t="shared" si="16"/>
        <v>6.3084999999999988E-2</v>
      </c>
      <c r="AE45" s="132">
        <f t="shared" si="28"/>
        <v>0.6333333333333333</v>
      </c>
      <c r="AF45" s="1">
        <f t="shared" si="17"/>
        <v>1.128912948125073</v>
      </c>
      <c r="AG45" s="1">
        <f t="shared" si="36"/>
        <v>2.5488888888888877E-2</v>
      </c>
      <c r="AH45" s="1">
        <f t="shared" si="37"/>
        <v>0.10844861738275823</v>
      </c>
      <c r="AI45" s="133">
        <f t="shared" si="19"/>
        <v>0.13393750627164711</v>
      </c>
      <c r="AJ45" s="132">
        <f t="shared" si="20"/>
        <v>1.2666666666666664</v>
      </c>
      <c r="AK45" s="1">
        <f t="shared" si="21"/>
        <v>1.5965240019770726</v>
      </c>
      <c r="AL45" s="1">
        <f t="shared" si="38"/>
        <v>5.0977777777777754E-2</v>
      </c>
      <c r="AM45" s="1">
        <f t="shared" si="45"/>
        <v>0.15427500000000002</v>
      </c>
      <c r="AN45" s="136">
        <f t="shared" si="39"/>
        <v>3.78E-2</v>
      </c>
      <c r="AO45" s="133">
        <f t="shared" si="23"/>
        <v>0.24305277777777778</v>
      </c>
      <c r="AP45" s="132">
        <f t="shared" si="40"/>
        <v>2.5042833333333327E-2</v>
      </c>
      <c r="AQ45" s="137">
        <f t="shared" si="41"/>
        <v>6.3084999999999988E-2</v>
      </c>
      <c r="AR45" s="137">
        <f t="shared" si="42"/>
        <v>4.147588250013759E-2</v>
      </c>
      <c r="AS45" s="1">
        <f t="shared" si="43"/>
        <v>5.9279999999999999E-2</v>
      </c>
      <c r="AT45" s="133">
        <f t="shared" si="44"/>
        <v>4.8000000000000001E-2</v>
      </c>
      <c r="AU45" s="132">
        <f t="shared" si="25"/>
        <v>0.67695899988289587</v>
      </c>
      <c r="AV45" s="1">
        <f t="shared" si="26"/>
        <v>22.799999999999997</v>
      </c>
      <c r="AW45" s="133">
        <f t="shared" si="27"/>
        <v>97.116496221310982</v>
      </c>
    </row>
    <row r="46" spans="17:49" x14ac:dyDescent="0.25">
      <c r="Q46">
        <v>39</v>
      </c>
      <c r="R46" s="132">
        <f t="shared" si="0"/>
        <v>18</v>
      </c>
      <c r="S46" s="1">
        <f t="shared" si="1"/>
        <v>1.3</v>
      </c>
      <c r="T46" s="1">
        <f t="shared" si="30"/>
        <v>12</v>
      </c>
      <c r="U46" s="133">
        <f t="shared" si="31"/>
        <v>1.9500000000000002</v>
      </c>
      <c r="V46" s="132">
        <f>IF(Calculations!$B$17=3,2,IF((S46*R46/T46)&lt;((T46*(1-(T46/R46)))/(2*Lm*fsw)),1,2))</f>
        <v>2</v>
      </c>
      <c r="W46" s="1">
        <f t="shared" si="32"/>
        <v>0.33333333333333337</v>
      </c>
      <c r="X46" s="133">
        <f t="shared" si="33"/>
        <v>0.66666666666666663</v>
      </c>
      <c r="Y46" s="132">
        <f t="shared" si="34"/>
        <v>1.6</v>
      </c>
      <c r="Z46" s="1">
        <f t="shared" si="13"/>
        <v>2.75</v>
      </c>
      <c r="AA46" s="1">
        <f t="shared" si="14"/>
        <v>2.0039544239661078</v>
      </c>
      <c r="AB46" s="1">
        <v>0</v>
      </c>
      <c r="AC46" s="1">
        <f t="shared" si="35"/>
        <v>6.6261250000000035E-2</v>
      </c>
      <c r="AD46" s="133">
        <f t="shared" si="16"/>
        <v>6.6261250000000035E-2</v>
      </c>
      <c r="AE46" s="132">
        <f t="shared" si="28"/>
        <v>0.65000000000000013</v>
      </c>
      <c r="AF46" s="1">
        <f t="shared" si="17"/>
        <v>1.1569836261205735</v>
      </c>
      <c r="AG46" s="1">
        <f t="shared" si="36"/>
        <v>2.6772222222222222E-2</v>
      </c>
      <c r="AH46" s="1">
        <f t="shared" si="37"/>
        <v>0.11130252836651504</v>
      </c>
      <c r="AI46" s="133">
        <f t="shared" si="19"/>
        <v>0.13807475058873725</v>
      </c>
      <c r="AJ46" s="132">
        <f t="shared" si="20"/>
        <v>1.3</v>
      </c>
      <c r="AK46" s="1">
        <f t="shared" si="21"/>
        <v>1.6362219355033174</v>
      </c>
      <c r="AL46" s="1">
        <f t="shared" si="38"/>
        <v>5.354444444444445E-2</v>
      </c>
      <c r="AM46" s="1">
        <f t="shared" si="45"/>
        <v>0.15427500000000002</v>
      </c>
      <c r="AN46" s="136">
        <f t="shared" si="39"/>
        <v>3.85E-2</v>
      </c>
      <c r="AO46" s="133">
        <f t="shared" si="23"/>
        <v>0.24631944444444448</v>
      </c>
      <c r="AP46" s="132">
        <f t="shared" si="40"/>
        <v>2.6303708333333342E-2</v>
      </c>
      <c r="AQ46" s="137">
        <f t="shared" si="41"/>
        <v>6.6261250000000035E-2</v>
      </c>
      <c r="AR46" s="137">
        <f t="shared" si="42"/>
        <v>4.147588250013759E-2</v>
      </c>
      <c r="AS46" s="1">
        <f t="shared" si="43"/>
        <v>5.9279999999999999E-2</v>
      </c>
      <c r="AT46" s="133">
        <f t="shared" si="44"/>
        <v>4.8000000000000001E-2</v>
      </c>
      <c r="AU46" s="132">
        <f t="shared" si="25"/>
        <v>0.69197628586665283</v>
      </c>
      <c r="AV46" s="1">
        <f t="shared" si="26"/>
        <v>23.400000000000002</v>
      </c>
      <c r="AW46" s="133">
        <f t="shared" si="27"/>
        <v>97.127772841646902</v>
      </c>
    </row>
    <row r="47" spans="17:49" x14ac:dyDescent="0.25">
      <c r="Q47">
        <v>40</v>
      </c>
      <c r="R47" s="132">
        <f t="shared" si="0"/>
        <v>18</v>
      </c>
      <c r="S47" s="1">
        <f t="shared" si="1"/>
        <v>1.3333333333333333</v>
      </c>
      <c r="T47" s="1">
        <f t="shared" si="30"/>
        <v>12</v>
      </c>
      <c r="U47" s="133">
        <f t="shared" si="31"/>
        <v>2</v>
      </c>
      <c r="V47" s="132">
        <f>IF(Calculations!$B$17=3,2,IF((S47*R47/T47)&lt;((T47*(1-(T47/R47)))/(2*Lm*fsw)),1,2))</f>
        <v>2</v>
      </c>
      <c r="W47" s="1">
        <f t="shared" si="32"/>
        <v>0.33333333333333337</v>
      </c>
      <c r="X47" s="133">
        <f t="shared" si="33"/>
        <v>0.66666666666666663</v>
      </c>
      <c r="Y47" s="132">
        <f t="shared" si="34"/>
        <v>1.6</v>
      </c>
      <c r="Z47" s="1">
        <f t="shared" si="13"/>
        <v>2.8</v>
      </c>
      <c r="AA47" s="1">
        <f t="shared" si="14"/>
        <v>2.0526405757787534</v>
      </c>
      <c r="AB47" s="1">
        <v>0</v>
      </c>
      <c r="AC47" s="1">
        <f t="shared" si="35"/>
        <v>6.9519999999999985E-2</v>
      </c>
      <c r="AD47" s="133">
        <f t="shared" si="16"/>
        <v>6.9519999999999985E-2</v>
      </c>
      <c r="AE47" s="132">
        <f t="shared" si="28"/>
        <v>0.66666666666666674</v>
      </c>
      <c r="AF47" s="1">
        <f t="shared" si="17"/>
        <v>1.1850925889754118</v>
      </c>
      <c r="AG47" s="1">
        <f t="shared" si="36"/>
        <v>2.8088888888888889E-2</v>
      </c>
      <c r="AH47" s="1">
        <f t="shared" si="37"/>
        <v>0.11415643935027184</v>
      </c>
      <c r="AI47" s="133">
        <f t="shared" si="19"/>
        <v>0.14224532823916072</v>
      </c>
      <c r="AJ47" s="132">
        <f t="shared" si="20"/>
        <v>1.3333333333333333</v>
      </c>
      <c r="AK47" s="1">
        <f t="shared" si="21"/>
        <v>1.6759740119968709</v>
      </c>
      <c r="AL47" s="1">
        <f t="shared" si="38"/>
        <v>5.617777777777775E-2</v>
      </c>
      <c r="AM47" s="1">
        <f t="shared" si="45"/>
        <v>0.15427500000000002</v>
      </c>
      <c r="AN47" s="136">
        <f t="shared" si="39"/>
        <v>3.9199999999999999E-2</v>
      </c>
      <c r="AO47" s="133">
        <f t="shared" si="23"/>
        <v>0.24965277777777778</v>
      </c>
      <c r="AP47" s="132">
        <f t="shared" si="40"/>
        <v>2.7597333333333321E-2</v>
      </c>
      <c r="AQ47" s="137">
        <f t="shared" si="41"/>
        <v>6.9519999999999985E-2</v>
      </c>
      <c r="AR47" s="137">
        <f t="shared" si="42"/>
        <v>4.147588250013759E-2</v>
      </c>
      <c r="AS47" s="1">
        <f t="shared" si="43"/>
        <v>5.9279999999999999E-2</v>
      </c>
      <c r="AT47" s="133">
        <f t="shared" si="44"/>
        <v>4.8000000000000001E-2</v>
      </c>
      <c r="AU47" s="132">
        <f t="shared" si="25"/>
        <v>0.70729132185040933</v>
      </c>
      <c r="AV47" s="1">
        <f t="shared" si="26"/>
        <v>24</v>
      </c>
      <c r="AW47" s="133">
        <f t="shared" si="27"/>
        <v>97.137317431373376</v>
      </c>
    </row>
    <row r="48" spans="17:49" x14ac:dyDescent="0.25">
      <c r="Q48">
        <v>41</v>
      </c>
      <c r="R48" s="132">
        <f t="shared" si="0"/>
        <v>18</v>
      </c>
      <c r="S48" s="1">
        <f t="shared" si="1"/>
        <v>1.3666666666666667</v>
      </c>
      <c r="T48" s="1">
        <f t="shared" si="30"/>
        <v>12</v>
      </c>
      <c r="U48" s="133">
        <f t="shared" si="31"/>
        <v>2.0500000000000003</v>
      </c>
      <c r="V48" s="132">
        <f>IF(Calculations!$B$17=3,2,IF((S48*R48/T48)&lt;((T48*(1-(T48/R48)))/(2*Lm*fsw)),1,2))</f>
        <v>2</v>
      </c>
      <c r="W48" s="1">
        <f t="shared" si="32"/>
        <v>0.33333333333333337</v>
      </c>
      <c r="X48" s="133">
        <f t="shared" si="33"/>
        <v>0.66666666666666663</v>
      </c>
      <c r="Y48" s="132">
        <f t="shared" si="34"/>
        <v>1.6</v>
      </c>
      <c r="Z48" s="1">
        <f t="shared" si="13"/>
        <v>2.8500000000000005</v>
      </c>
      <c r="AA48" s="1">
        <f t="shared" si="14"/>
        <v>2.1013884299037469</v>
      </c>
      <c r="AB48" s="1">
        <v>0</v>
      </c>
      <c r="AC48" s="1">
        <f t="shared" si="35"/>
        <v>7.2861250000000016E-2</v>
      </c>
      <c r="AD48" s="133">
        <f t="shared" si="16"/>
        <v>7.2861250000000016E-2</v>
      </c>
      <c r="AE48" s="132">
        <f t="shared" si="28"/>
        <v>0.68333333333333346</v>
      </c>
      <c r="AF48" s="1">
        <f t="shared" si="17"/>
        <v>1.2132371756768934</v>
      </c>
      <c r="AG48" s="1">
        <f t="shared" si="36"/>
        <v>2.94388888888889E-2</v>
      </c>
      <c r="AH48" s="1">
        <f t="shared" si="37"/>
        <v>0.11701035033402865</v>
      </c>
      <c r="AI48" s="133">
        <f t="shared" si="19"/>
        <v>0.14644923922291755</v>
      </c>
      <c r="AJ48" s="132">
        <f t="shared" si="20"/>
        <v>1.3666666666666667</v>
      </c>
      <c r="AK48" s="1">
        <f t="shared" si="21"/>
        <v>1.7157764682174916</v>
      </c>
      <c r="AL48" s="1">
        <f t="shared" si="38"/>
        <v>5.8877777777777779E-2</v>
      </c>
      <c r="AM48" s="1">
        <f t="shared" si="45"/>
        <v>0.15427500000000002</v>
      </c>
      <c r="AN48" s="136">
        <f t="shared" si="39"/>
        <v>3.9900000000000005E-2</v>
      </c>
      <c r="AO48" s="133">
        <f t="shared" si="23"/>
        <v>0.25305277777777779</v>
      </c>
      <c r="AP48" s="132">
        <f t="shared" si="40"/>
        <v>2.8923708333333336E-2</v>
      </c>
      <c r="AQ48" s="137">
        <f t="shared" si="41"/>
        <v>7.2861250000000016E-2</v>
      </c>
      <c r="AR48" s="137">
        <f t="shared" si="42"/>
        <v>4.147588250013759E-2</v>
      </c>
      <c r="AS48" s="1">
        <f t="shared" si="43"/>
        <v>5.9279999999999999E-2</v>
      </c>
      <c r="AT48" s="133">
        <f t="shared" si="44"/>
        <v>4.8000000000000001E-2</v>
      </c>
      <c r="AU48" s="132">
        <f t="shared" si="25"/>
        <v>0.72290410783416625</v>
      </c>
      <c r="AV48" s="1">
        <f t="shared" si="26"/>
        <v>24.6</v>
      </c>
      <c r="AW48" s="133">
        <f t="shared" si="27"/>
        <v>97.145255912371738</v>
      </c>
    </row>
    <row r="49" spans="17:49" x14ac:dyDescent="0.25">
      <c r="Q49">
        <v>42</v>
      </c>
      <c r="R49" s="132">
        <f t="shared" si="0"/>
        <v>18</v>
      </c>
      <c r="S49" s="1">
        <f t="shared" si="1"/>
        <v>1.4</v>
      </c>
      <c r="T49" s="1">
        <f t="shared" si="30"/>
        <v>12</v>
      </c>
      <c r="U49" s="133">
        <f t="shared" si="31"/>
        <v>2.1</v>
      </c>
      <c r="V49" s="132">
        <f>IF(Calculations!$B$17=3,2,IF((S49*R49/T49)&lt;((T49*(1-(T49/R49)))/(2*Lm*fsw)),1,2))</f>
        <v>2</v>
      </c>
      <c r="W49" s="1">
        <f t="shared" si="32"/>
        <v>0.33333333333333337</v>
      </c>
      <c r="X49" s="133">
        <f t="shared" si="33"/>
        <v>0.66666666666666663</v>
      </c>
      <c r="Y49" s="132">
        <f t="shared" si="34"/>
        <v>1.6</v>
      </c>
      <c r="Z49" s="1">
        <f t="shared" si="13"/>
        <v>2.9000000000000004</v>
      </c>
      <c r="AA49" s="1">
        <f t="shared" si="14"/>
        <v>2.1501937897160186</v>
      </c>
      <c r="AB49" s="1">
        <v>0</v>
      </c>
      <c r="AC49" s="1">
        <f t="shared" si="35"/>
        <v>7.6285000000000019E-2</v>
      </c>
      <c r="AD49" s="133">
        <f t="shared" si="16"/>
        <v>7.6285000000000019E-2</v>
      </c>
      <c r="AE49" s="132">
        <f t="shared" si="28"/>
        <v>0.70000000000000007</v>
      </c>
      <c r="AF49" s="1">
        <f t="shared" si="17"/>
        <v>1.2414149633024052</v>
      </c>
      <c r="AG49" s="1">
        <f t="shared" si="36"/>
        <v>3.082222222222224E-2</v>
      </c>
      <c r="AH49" s="1">
        <f t="shared" si="37"/>
        <v>0.11986426131778545</v>
      </c>
      <c r="AI49" s="133">
        <f t="shared" si="19"/>
        <v>0.15068648354000769</v>
      </c>
      <c r="AJ49" s="132">
        <f t="shared" si="20"/>
        <v>1.4</v>
      </c>
      <c r="AK49" s="1">
        <f t="shared" si="21"/>
        <v>1.7556258776351592</v>
      </c>
      <c r="AL49" s="1">
        <f t="shared" si="38"/>
        <v>6.164444444444446E-2</v>
      </c>
      <c r="AM49" s="1">
        <f t="shared" si="45"/>
        <v>0.15427500000000002</v>
      </c>
      <c r="AN49" s="136">
        <f t="shared" si="39"/>
        <v>4.0600000000000004E-2</v>
      </c>
      <c r="AO49" s="133">
        <f t="shared" si="23"/>
        <v>0.25651944444444452</v>
      </c>
      <c r="AP49" s="132">
        <f t="shared" si="40"/>
        <v>3.0282833333333335E-2</v>
      </c>
      <c r="AQ49" s="137">
        <f t="shared" si="41"/>
        <v>7.6285000000000019E-2</v>
      </c>
      <c r="AR49" s="137">
        <f t="shared" si="42"/>
        <v>4.147588250013759E-2</v>
      </c>
      <c r="AS49" s="1">
        <f t="shared" si="43"/>
        <v>5.9279999999999999E-2</v>
      </c>
      <c r="AT49" s="133">
        <f t="shared" si="44"/>
        <v>4.8000000000000001E-2</v>
      </c>
      <c r="AU49" s="132">
        <f t="shared" si="25"/>
        <v>0.73881464381792317</v>
      </c>
      <c r="AV49" s="1">
        <f t="shared" si="26"/>
        <v>25.2</v>
      </c>
      <c r="AW49" s="133">
        <f t="shared" si="27"/>
        <v>97.151702365882755</v>
      </c>
    </row>
    <row r="50" spans="17:49" x14ac:dyDescent="0.25">
      <c r="Q50">
        <v>43</v>
      </c>
      <c r="R50" s="132">
        <f t="shared" si="0"/>
        <v>18</v>
      </c>
      <c r="S50" s="1">
        <f t="shared" si="1"/>
        <v>1.4333333333333333</v>
      </c>
      <c r="T50" s="1">
        <f t="shared" si="30"/>
        <v>12</v>
      </c>
      <c r="U50" s="133">
        <f t="shared" si="31"/>
        <v>2.15</v>
      </c>
      <c r="V50" s="132">
        <f>IF(Calculations!$B$17=3,2,IF((S50*R50/T50)&lt;((T50*(1-(T50/R50)))/(2*Lm*fsw)),1,2))</f>
        <v>2</v>
      </c>
      <c r="W50" s="1">
        <f t="shared" si="32"/>
        <v>0.33333333333333337</v>
      </c>
      <c r="X50" s="133">
        <f t="shared" si="33"/>
        <v>0.66666666666666663</v>
      </c>
      <c r="Y50" s="132">
        <f t="shared" si="34"/>
        <v>1.6</v>
      </c>
      <c r="Z50" s="1">
        <f t="shared" si="13"/>
        <v>2.95</v>
      </c>
      <c r="AA50" s="1">
        <f t="shared" si="14"/>
        <v>2.1990528264080726</v>
      </c>
      <c r="AB50" s="1">
        <v>0</v>
      </c>
      <c r="AC50" s="1">
        <f t="shared" si="35"/>
        <v>7.9791249999999994E-2</v>
      </c>
      <c r="AD50" s="133">
        <f t="shared" si="16"/>
        <v>7.9791249999999994E-2</v>
      </c>
      <c r="AE50" s="132">
        <f t="shared" si="28"/>
        <v>0.71666666666666667</v>
      </c>
      <c r="AF50" s="1">
        <f t="shared" si="17"/>
        <v>1.2696237412889082</v>
      </c>
      <c r="AG50" s="1">
        <f t="shared" si="36"/>
        <v>3.2238888888888886E-2</v>
      </c>
      <c r="AH50" s="1">
        <f t="shared" si="37"/>
        <v>0.12271817230154221</v>
      </c>
      <c r="AI50" s="133">
        <f t="shared" si="19"/>
        <v>0.15495706119043109</v>
      </c>
      <c r="AJ50" s="132">
        <f t="shared" si="20"/>
        <v>1.4333333333333331</v>
      </c>
      <c r="AK50" s="1">
        <f t="shared" si="21"/>
        <v>1.7955191140416435</v>
      </c>
      <c r="AL50" s="1">
        <f t="shared" si="38"/>
        <v>6.4477777777777773E-2</v>
      </c>
      <c r="AM50" s="1">
        <f t="shared" si="45"/>
        <v>0.15427500000000002</v>
      </c>
      <c r="AN50" s="136">
        <f t="shared" si="39"/>
        <v>4.1300000000000003E-2</v>
      </c>
      <c r="AO50" s="133">
        <f t="shared" si="23"/>
        <v>0.2600527777777778</v>
      </c>
      <c r="AP50" s="132">
        <f t="shared" si="40"/>
        <v>3.1674708333333322E-2</v>
      </c>
      <c r="AQ50" s="137">
        <f t="shared" si="41"/>
        <v>7.9791249999999994E-2</v>
      </c>
      <c r="AR50" s="137">
        <f t="shared" si="42"/>
        <v>4.147588250013759E-2</v>
      </c>
      <c r="AS50" s="1">
        <f t="shared" si="43"/>
        <v>5.9279999999999999E-2</v>
      </c>
      <c r="AT50" s="133">
        <f t="shared" si="44"/>
        <v>4.8000000000000001E-2</v>
      </c>
      <c r="AU50" s="132">
        <f t="shared" si="25"/>
        <v>0.75502292980167973</v>
      </c>
      <c r="AV50" s="1">
        <f t="shared" si="26"/>
        <v>25.8</v>
      </c>
      <c r="AW50" s="133">
        <f t="shared" si="27"/>
        <v>97.156760392195523</v>
      </c>
    </row>
    <row r="51" spans="17:49" x14ac:dyDescent="0.25">
      <c r="Q51">
        <v>44</v>
      </c>
      <c r="R51" s="132">
        <f t="shared" si="0"/>
        <v>18</v>
      </c>
      <c r="S51" s="1">
        <f t="shared" si="1"/>
        <v>1.4666666666666666</v>
      </c>
      <c r="T51" s="1">
        <f t="shared" si="30"/>
        <v>12</v>
      </c>
      <c r="U51" s="133">
        <f t="shared" si="31"/>
        <v>2.1999999999999997</v>
      </c>
      <c r="V51" s="132">
        <f>IF(Calculations!$B$17=3,2,IF((S51*R51/T51)&lt;((T51*(1-(T51/R51)))/(2*Lm*fsw)),1,2))</f>
        <v>2</v>
      </c>
      <c r="W51" s="1">
        <f t="shared" si="32"/>
        <v>0.33333333333333337</v>
      </c>
      <c r="X51" s="133">
        <f t="shared" si="33"/>
        <v>0.66666666666666663</v>
      </c>
      <c r="Y51" s="132">
        <f t="shared" si="34"/>
        <v>1.6</v>
      </c>
      <c r="Z51" s="1">
        <f t="shared" si="13"/>
        <v>3</v>
      </c>
      <c r="AA51" s="1">
        <f t="shared" si="14"/>
        <v>2.2479620400116485</v>
      </c>
      <c r="AB51" s="1">
        <v>0</v>
      </c>
      <c r="AC51" s="1">
        <f t="shared" si="35"/>
        <v>8.3379999999999982E-2</v>
      </c>
      <c r="AD51" s="133">
        <f t="shared" si="16"/>
        <v>8.3379999999999982E-2</v>
      </c>
      <c r="AE51" s="132">
        <f t="shared" si="28"/>
        <v>0.73333333333333328</v>
      </c>
      <c r="AF51" s="1">
        <f t="shared" si="17"/>
        <v>1.2978614889287856</v>
      </c>
      <c r="AG51" s="1">
        <f t="shared" si="36"/>
        <v>3.3688888888888886E-2</v>
      </c>
      <c r="AH51" s="1">
        <f t="shared" si="37"/>
        <v>0.12557208328529901</v>
      </c>
      <c r="AI51" s="133">
        <f t="shared" si="19"/>
        <v>0.15926097217418789</v>
      </c>
      <c r="AJ51" s="132">
        <f t="shared" si="20"/>
        <v>1.4666666666666663</v>
      </c>
      <c r="AK51" s="1">
        <f t="shared" si="21"/>
        <v>1.8354533197248271</v>
      </c>
      <c r="AL51" s="1">
        <f t="shared" si="38"/>
        <v>6.7377777777777773E-2</v>
      </c>
      <c r="AM51" s="1">
        <f t="shared" si="45"/>
        <v>0.15427500000000002</v>
      </c>
      <c r="AN51" s="136">
        <f t="shared" si="39"/>
        <v>4.2000000000000003E-2</v>
      </c>
      <c r="AO51" s="133">
        <f t="shared" si="23"/>
        <v>0.26365277777777779</v>
      </c>
      <c r="AP51" s="132">
        <f t="shared" si="40"/>
        <v>3.3099333333333321E-2</v>
      </c>
      <c r="AQ51" s="137">
        <f t="shared" si="41"/>
        <v>8.3379999999999982E-2</v>
      </c>
      <c r="AR51" s="137">
        <f t="shared" si="42"/>
        <v>4.147588250013759E-2</v>
      </c>
      <c r="AS51" s="1">
        <f t="shared" si="43"/>
        <v>5.9279999999999999E-2</v>
      </c>
      <c r="AT51" s="133">
        <f t="shared" si="44"/>
        <v>4.8000000000000001E-2</v>
      </c>
      <c r="AU51" s="132">
        <f t="shared" si="25"/>
        <v>0.77152896578543662</v>
      </c>
      <c r="AV51" s="1">
        <f t="shared" si="26"/>
        <v>26.4</v>
      </c>
      <c r="AW51" s="133">
        <f t="shared" si="27"/>
        <v>97.160524287179612</v>
      </c>
    </row>
    <row r="52" spans="17:49" x14ac:dyDescent="0.25">
      <c r="Q52">
        <v>45</v>
      </c>
      <c r="R52" s="132">
        <f t="shared" si="0"/>
        <v>18</v>
      </c>
      <c r="S52" s="1">
        <f t="shared" si="1"/>
        <v>1.5</v>
      </c>
      <c r="T52" s="1">
        <f t="shared" si="30"/>
        <v>12</v>
      </c>
      <c r="U52" s="133">
        <f t="shared" si="31"/>
        <v>2.25</v>
      </c>
      <c r="V52" s="132">
        <f>IF(Calculations!$B$17=3,2,IF((S52*R52/T52)&lt;((T52*(1-(T52/R52)))/(2*Lm*fsw)),1,2))</f>
        <v>2</v>
      </c>
      <c r="W52" s="1">
        <f t="shared" si="32"/>
        <v>0.33333333333333337</v>
      </c>
      <c r="X52" s="133">
        <f t="shared" si="33"/>
        <v>0.66666666666666663</v>
      </c>
      <c r="Y52" s="132">
        <f t="shared" si="34"/>
        <v>1.6</v>
      </c>
      <c r="Z52" s="1">
        <f t="shared" si="13"/>
        <v>3.05</v>
      </c>
      <c r="AA52" s="1">
        <f t="shared" si="14"/>
        <v>2.2969182252168521</v>
      </c>
      <c r="AB52" s="1">
        <v>0</v>
      </c>
      <c r="AC52" s="1">
        <f t="shared" si="35"/>
        <v>8.7051250000000011E-2</v>
      </c>
      <c r="AD52" s="133">
        <f t="shared" si="16"/>
        <v>8.7051250000000011E-2</v>
      </c>
      <c r="AE52" s="132">
        <f t="shared" si="28"/>
        <v>0.75000000000000011</v>
      </c>
      <c r="AF52" s="1">
        <f t="shared" si="17"/>
        <v>1.326126355635507</v>
      </c>
      <c r="AG52" s="1">
        <f t="shared" si="36"/>
        <v>3.5172222222222223E-2</v>
      </c>
      <c r="AH52" s="1">
        <f t="shared" si="37"/>
        <v>0.12842599426905582</v>
      </c>
      <c r="AI52" s="133">
        <f t="shared" si="19"/>
        <v>0.16359821649127804</v>
      </c>
      <c r="AJ52" s="132">
        <f t="shared" si="20"/>
        <v>1.5</v>
      </c>
      <c r="AK52" s="1">
        <f t="shared" si="21"/>
        <v>1.87542587756014</v>
      </c>
      <c r="AL52" s="1">
        <f t="shared" si="38"/>
        <v>7.0344444444444432E-2</v>
      </c>
      <c r="AM52" s="1">
        <f t="shared" si="45"/>
        <v>0.15427500000000002</v>
      </c>
      <c r="AN52" s="136">
        <f t="shared" si="39"/>
        <v>4.2700000000000002E-2</v>
      </c>
      <c r="AO52" s="133">
        <f t="shared" si="23"/>
        <v>0.26731944444444444</v>
      </c>
      <c r="AP52" s="132">
        <f t="shared" si="40"/>
        <v>3.4556708333333332E-2</v>
      </c>
      <c r="AQ52" s="137">
        <f t="shared" si="41"/>
        <v>8.7051250000000011E-2</v>
      </c>
      <c r="AR52" s="137">
        <f t="shared" si="42"/>
        <v>4.147588250013759E-2</v>
      </c>
      <c r="AS52" s="1">
        <f t="shared" si="43"/>
        <v>5.9279999999999999E-2</v>
      </c>
      <c r="AT52" s="133">
        <f t="shared" si="44"/>
        <v>4.8000000000000001E-2</v>
      </c>
      <c r="AU52" s="132">
        <f t="shared" si="25"/>
        <v>0.78833275176919348</v>
      </c>
      <c r="AV52" s="1">
        <f t="shared" si="26"/>
        <v>27</v>
      </c>
      <c r="AW52" s="133">
        <f t="shared" si="27"/>
        <v>97.163080063812018</v>
      </c>
    </row>
    <row r="53" spans="17:49" x14ac:dyDescent="0.25">
      <c r="Q53">
        <v>46</v>
      </c>
      <c r="R53" s="132">
        <f t="shared" si="0"/>
        <v>18</v>
      </c>
      <c r="S53" s="1">
        <f t="shared" si="1"/>
        <v>1.5333333333333332</v>
      </c>
      <c r="T53" s="1">
        <f t="shared" si="30"/>
        <v>12</v>
      </c>
      <c r="U53" s="133">
        <f t="shared" si="31"/>
        <v>2.2999999999999998</v>
      </c>
      <c r="V53" s="132">
        <f>IF(Calculations!$B$17=3,2,IF((S53*R53/T53)&lt;((T53*(1-(T53/R53)))/(2*Lm*fsw)),1,2))</f>
        <v>2</v>
      </c>
      <c r="W53" s="1">
        <f t="shared" si="32"/>
        <v>0.33333333333333337</v>
      </c>
      <c r="X53" s="133">
        <f t="shared" si="33"/>
        <v>0.66666666666666663</v>
      </c>
      <c r="Y53" s="132">
        <f t="shared" si="34"/>
        <v>1.6</v>
      </c>
      <c r="Z53" s="1">
        <f t="shared" si="13"/>
        <v>3.0999999999999996</v>
      </c>
      <c r="AA53" s="1">
        <f t="shared" si="14"/>
        <v>2.3459184413217207</v>
      </c>
      <c r="AB53" s="1">
        <v>0</v>
      </c>
      <c r="AC53" s="1">
        <f t="shared" si="35"/>
        <v>9.0804999999999969E-2</v>
      </c>
      <c r="AD53" s="133">
        <f t="shared" si="16"/>
        <v>9.0804999999999969E-2</v>
      </c>
      <c r="AE53" s="132">
        <f t="shared" si="28"/>
        <v>0.76666666666666672</v>
      </c>
      <c r="AF53" s="1">
        <f t="shared" si="17"/>
        <v>1.3544166435940028</v>
      </c>
      <c r="AG53" s="1">
        <f t="shared" si="36"/>
        <v>3.6688888888888882E-2</v>
      </c>
      <c r="AH53" s="1">
        <f t="shared" si="37"/>
        <v>0.13127990525281261</v>
      </c>
      <c r="AI53" s="133">
        <f t="shared" si="19"/>
        <v>0.16796879414170149</v>
      </c>
      <c r="AJ53" s="132">
        <f t="shared" si="20"/>
        <v>1.5333333333333332</v>
      </c>
      <c r="AK53" s="1">
        <f t="shared" si="21"/>
        <v>1.9154343864744852</v>
      </c>
      <c r="AL53" s="1">
        <f t="shared" si="38"/>
        <v>7.337777777777775E-2</v>
      </c>
      <c r="AM53" s="1">
        <f t="shared" si="45"/>
        <v>0.15427500000000002</v>
      </c>
      <c r="AN53" s="136">
        <f t="shared" si="39"/>
        <v>4.3399999999999994E-2</v>
      </c>
      <c r="AO53" s="133">
        <f t="shared" si="23"/>
        <v>0.27105277777777775</v>
      </c>
      <c r="AP53" s="132">
        <f t="shared" si="40"/>
        <v>3.6046833333333313E-2</v>
      </c>
      <c r="AQ53" s="137">
        <f t="shared" si="41"/>
        <v>9.0804999999999969E-2</v>
      </c>
      <c r="AR53" s="137">
        <f t="shared" si="42"/>
        <v>4.147588250013759E-2</v>
      </c>
      <c r="AS53" s="1">
        <f t="shared" si="43"/>
        <v>5.9279999999999999E-2</v>
      </c>
      <c r="AT53" s="133">
        <f t="shared" si="44"/>
        <v>4.8000000000000001E-2</v>
      </c>
      <c r="AU53" s="132">
        <f t="shared" si="25"/>
        <v>0.80543428775295012</v>
      </c>
      <c r="AV53" s="1">
        <f t="shared" si="26"/>
        <v>27.599999999999998</v>
      </c>
      <c r="AW53" s="133">
        <f t="shared" si="27"/>
        <v>97.164506342012828</v>
      </c>
    </row>
    <row r="54" spans="17:49" x14ac:dyDescent="0.25">
      <c r="Q54">
        <v>47</v>
      </c>
      <c r="R54" s="132">
        <f t="shared" si="0"/>
        <v>18</v>
      </c>
      <c r="S54" s="1">
        <f t="shared" si="1"/>
        <v>1.5666666666666667</v>
      </c>
      <c r="T54" s="1">
        <f t="shared" si="30"/>
        <v>12</v>
      </c>
      <c r="U54" s="133">
        <f t="shared" si="31"/>
        <v>2.35</v>
      </c>
      <c r="V54" s="132">
        <f>IF(Calculations!$B$17=3,2,IF((S54*R54/T54)&lt;((T54*(1-(T54/R54)))/(2*Lm*fsw)),1,2))</f>
        <v>2</v>
      </c>
      <c r="W54" s="1">
        <f t="shared" si="32"/>
        <v>0.33333333333333337</v>
      </c>
      <c r="X54" s="133">
        <f t="shared" si="33"/>
        <v>0.66666666666666663</v>
      </c>
      <c r="Y54" s="132">
        <f t="shared" si="34"/>
        <v>1.6</v>
      </c>
      <c r="Z54" s="1">
        <f t="shared" si="13"/>
        <v>3.1500000000000004</v>
      </c>
      <c r="AA54" s="1">
        <f t="shared" si="14"/>
        <v>2.3949599857478483</v>
      </c>
      <c r="AB54" s="1">
        <v>0</v>
      </c>
      <c r="AC54" s="1">
        <f t="shared" si="35"/>
        <v>9.464125000000001E-2</v>
      </c>
      <c r="AD54" s="133">
        <f t="shared" si="16"/>
        <v>9.464125000000001E-2</v>
      </c>
      <c r="AE54" s="132">
        <f t="shared" si="28"/>
        <v>0.78333333333333344</v>
      </c>
      <c r="AF54" s="1">
        <f t="shared" si="17"/>
        <v>1.3827307924699028</v>
      </c>
      <c r="AG54" s="1">
        <f t="shared" si="36"/>
        <v>3.8238888888888913E-2</v>
      </c>
      <c r="AH54" s="1">
        <f t="shared" si="37"/>
        <v>0.13413381623656942</v>
      </c>
      <c r="AI54" s="133">
        <f t="shared" si="19"/>
        <v>0.17237270512545833</v>
      </c>
      <c r="AJ54" s="132">
        <f t="shared" si="20"/>
        <v>1.5666666666666667</v>
      </c>
      <c r="AK54" s="1">
        <f t="shared" si="21"/>
        <v>1.955476639821834</v>
      </c>
      <c r="AL54" s="1">
        <f t="shared" si="38"/>
        <v>7.6477777777777811E-2</v>
      </c>
      <c r="AM54" s="1">
        <f t="shared" si="45"/>
        <v>0.15427500000000002</v>
      </c>
      <c r="AN54" s="136">
        <f t="shared" si="39"/>
        <v>4.4100000000000007E-2</v>
      </c>
      <c r="AO54" s="133">
        <f t="shared" si="23"/>
        <v>0.27485277777777783</v>
      </c>
      <c r="AP54" s="132">
        <f t="shared" si="40"/>
        <v>3.7569708333333333E-2</v>
      </c>
      <c r="AQ54" s="137">
        <f t="shared" si="41"/>
        <v>9.464125000000001E-2</v>
      </c>
      <c r="AR54" s="137">
        <f t="shared" si="42"/>
        <v>4.147588250013759E-2</v>
      </c>
      <c r="AS54" s="1">
        <f t="shared" si="43"/>
        <v>5.9279999999999999E-2</v>
      </c>
      <c r="AT54" s="133">
        <f t="shared" si="44"/>
        <v>4.8000000000000001E-2</v>
      </c>
      <c r="AU54" s="132">
        <f t="shared" si="25"/>
        <v>0.82283357373670718</v>
      </c>
      <c r="AV54" s="1">
        <f t="shared" si="26"/>
        <v>28.2</v>
      </c>
      <c r="AW54" s="133">
        <f t="shared" si="27"/>
        <v>97.164875126178913</v>
      </c>
    </row>
    <row r="55" spans="17:49" x14ac:dyDescent="0.25">
      <c r="Q55">
        <v>48</v>
      </c>
      <c r="R55" s="132">
        <f t="shared" si="0"/>
        <v>18</v>
      </c>
      <c r="S55" s="1">
        <f t="shared" si="1"/>
        <v>1.6</v>
      </c>
      <c r="T55" s="1">
        <f t="shared" si="30"/>
        <v>12</v>
      </c>
      <c r="U55" s="133">
        <f t="shared" si="31"/>
        <v>2.4</v>
      </c>
      <c r="V55" s="132">
        <f>IF(Calculations!$B$17=3,2,IF((S55*R55/T55)&lt;((T55*(1-(T55/R55)))/(2*Lm*fsw)),1,2))</f>
        <v>2</v>
      </c>
      <c r="W55" s="1">
        <f t="shared" si="32"/>
        <v>0.33333333333333337</v>
      </c>
      <c r="X55" s="133">
        <f t="shared" si="33"/>
        <v>0.66666666666666663</v>
      </c>
      <c r="Y55" s="132">
        <f t="shared" si="34"/>
        <v>1.6</v>
      </c>
      <c r="Z55" s="1">
        <f t="shared" si="13"/>
        <v>3.2</v>
      </c>
      <c r="AA55" s="1">
        <f t="shared" si="14"/>
        <v>2.4440403706431146</v>
      </c>
      <c r="AB55" s="1">
        <v>0</v>
      </c>
      <c r="AC55" s="1">
        <f t="shared" si="35"/>
        <v>9.8559999999999995E-2</v>
      </c>
      <c r="AD55" s="133">
        <f t="shared" si="16"/>
        <v>9.8559999999999995E-2</v>
      </c>
      <c r="AE55" s="132">
        <f t="shared" si="28"/>
        <v>0.8</v>
      </c>
      <c r="AF55" s="1">
        <f t="shared" si="17"/>
        <v>1.4110673659011153</v>
      </c>
      <c r="AG55" s="1">
        <f t="shared" si="36"/>
        <v>3.9822222222222238E-2</v>
      </c>
      <c r="AH55" s="1">
        <f t="shared" si="37"/>
        <v>0.13698772722032618</v>
      </c>
      <c r="AI55" s="133">
        <f t="shared" si="19"/>
        <v>0.17680994944254841</v>
      </c>
      <c r="AJ55" s="132">
        <f t="shared" si="20"/>
        <v>1.5999999999999999</v>
      </c>
      <c r="AK55" s="1">
        <f t="shared" si="21"/>
        <v>1.9955506062794357</v>
      </c>
      <c r="AL55" s="1">
        <f t="shared" si="38"/>
        <v>7.9644444444444476E-2</v>
      </c>
      <c r="AM55" s="1">
        <f t="shared" si="45"/>
        <v>0.15427500000000002</v>
      </c>
      <c r="AN55" s="136">
        <f t="shared" si="39"/>
        <v>4.4800000000000006E-2</v>
      </c>
      <c r="AO55" s="133">
        <f t="shared" si="23"/>
        <v>0.27871944444444452</v>
      </c>
      <c r="AP55" s="132">
        <f t="shared" si="40"/>
        <v>3.9125333333333324E-2</v>
      </c>
      <c r="AQ55" s="137">
        <f t="shared" si="41"/>
        <v>9.8559999999999995E-2</v>
      </c>
      <c r="AR55" s="137">
        <f t="shared" si="42"/>
        <v>4.147588250013759E-2</v>
      </c>
      <c r="AS55" s="1">
        <f t="shared" si="43"/>
        <v>5.9279999999999999E-2</v>
      </c>
      <c r="AT55" s="133">
        <f t="shared" si="44"/>
        <v>4.8000000000000001E-2</v>
      </c>
      <c r="AU55" s="132">
        <f t="shared" si="25"/>
        <v>0.84053060972046389</v>
      </c>
      <c r="AV55" s="1">
        <f t="shared" si="26"/>
        <v>28.8</v>
      </c>
      <c r="AW55" s="133">
        <f t="shared" si="27"/>
        <v>97.164252486610962</v>
      </c>
    </row>
    <row r="56" spans="17:49" x14ac:dyDescent="0.25">
      <c r="Q56">
        <v>49</v>
      </c>
      <c r="R56" s="132">
        <f t="shared" si="0"/>
        <v>18</v>
      </c>
      <c r="S56" s="1">
        <f t="shared" si="1"/>
        <v>1.6333333333333333</v>
      </c>
      <c r="T56" s="1">
        <f t="shared" si="30"/>
        <v>12</v>
      </c>
      <c r="U56" s="133">
        <f t="shared" si="31"/>
        <v>2.4499999999999997</v>
      </c>
      <c r="V56" s="132">
        <f>IF(Calculations!$B$17=3,2,IF((S56*R56/T56)&lt;((T56*(1-(T56/R56)))/(2*Lm*fsw)),1,2))</f>
        <v>2</v>
      </c>
      <c r="W56" s="1">
        <f t="shared" si="32"/>
        <v>0.33333333333333337</v>
      </c>
      <c r="X56" s="133">
        <f t="shared" si="33"/>
        <v>0.66666666666666663</v>
      </c>
      <c r="Y56" s="132">
        <f t="shared" si="34"/>
        <v>1.6</v>
      </c>
      <c r="Z56" s="1">
        <f t="shared" si="13"/>
        <v>3.25</v>
      </c>
      <c r="AA56" s="1">
        <f t="shared" si="14"/>
        <v>2.4931573021639313</v>
      </c>
      <c r="AB56" s="1">
        <v>0</v>
      </c>
      <c r="AC56" s="1">
        <f t="shared" si="35"/>
        <v>0.10256124999999999</v>
      </c>
      <c r="AD56" s="133">
        <f t="shared" si="16"/>
        <v>0.10256124999999999</v>
      </c>
      <c r="AE56" s="132">
        <f t="shared" si="28"/>
        <v>0.81666666666666665</v>
      </c>
      <c r="AF56" s="1">
        <f t="shared" si="17"/>
        <v>1.439425039536427</v>
      </c>
      <c r="AG56" s="1">
        <f t="shared" si="36"/>
        <v>4.1438888888888886E-2</v>
      </c>
      <c r="AH56" s="1">
        <f t="shared" si="37"/>
        <v>0.13984163820408299</v>
      </c>
      <c r="AI56" s="133">
        <f t="shared" si="19"/>
        <v>0.18128052709297188</v>
      </c>
      <c r="AJ56" s="132">
        <f t="shared" si="20"/>
        <v>1.6333333333333331</v>
      </c>
      <c r="AK56" s="1">
        <f t="shared" si="21"/>
        <v>2.0356544129318435</v>
      </c>
      <c r="AL56" s="1">
        <f t="shared" si="38"/>
        <v>8.2877777777777772E-2</v>
      </c>
      <c r="AM56" s="1">
        <f t="shared" si="45"/>
        <v>0.15427500000000002</v>
      </c>
      <c r="AN56" s="136">
        <f t="shared" si="39"/>
        <v>4.5499999999999999E-2</v>
      </c>
      <c r="AO56" s="133">
        <f t="shared" si="23"/>
        <v>0.28265277777777781</v>
      </c>
      <c r="AP56" s="132">
        <f t="shared" si="40"/>
        <v>4.0713708333333321E-2</v>
      </c>
      <c r="AQ56" s="137">
        <f t="shared" si="41"/>
        <v>0.10256124999999999</v>
      </c>
      <c r="AR56" s="137">
        <f t="shared" si="42"/>
        <v>4.147588250013759E-2</v>
      </c>
      <c r="AS56" s="1">
        <f t="shared" si="43"/>
        <v>5.9279999999999999E-2</v>
      </c>
      <c r="AT56" s="133">
        <f t="shared" si="44"/>
        <v>4.8000000000000001E-2</v>
      </c>
      <c r="AU56" s="132">
        <f t="shared" si="25"/>
        <v>0.85852539570422048</v>
      </c>
      <c r="AV56" s="1">
        <f t="shared" si="26"/>
        <v>29.4</v>
      </c>
      <c r="AW56" s="133">
        <f t="shared" si="27"/>
        <v>97.162699158412707</v>
      </c>
    </row>
    <row r="57" spans="17:49" x14ac:dyDescent="0.25">
      <c r="Q57">
        <v>50</v>
      </c>
      <c r="R57" s="132">
        <f t="shared" si="0"/>
        <v>18</v>
      </c>
      <c r="S57" s="1">
        <f t="shared" si="1"/>
        <v>1.6666666666666667</v>
      </c>
      <c r="T57" s="1">
        <f t="shared" si="30"/>
        <v>12</v>
      </c>
      <c r="U57" s="133">
        <f t="shared" si="31"/>
        <v>2.5</v>
      </c>
      <c r="V57" s="132">
        <f>IF(Calculations!$B$17=3,2,IF((S57*R57/T57)&lt;((T57*(1-(T57/R57)))/(2*Lm*fsw)),1,2))</f>
        <v>2</v>
      </c>
      <c r="W57" s="1">
        <f t="shared" si="32"/>
        <v>0.33333333333333337</v>
      </c>
      <c r="X57" s="133">
        <f t="shared" si="33"/>
        <v>0.66666666666666663</v>
      </c>
      <c r="Y57" s="132">
        <f t="shared" si="34"/>
        <v>1.6</v>
      </c>
      <c r="Z57" s="1">
        <f t="shared" si="13"/>
        <v>3.3</v>
      </c>
      <c r="AA57" s="1">
        <f t="shared" si="14"/>
        <v>2.5423086620891127</v>
      </c>
      <c r="AB57" s="1">
        <v>0</v>
      </c>
      <c r="AC57" s="1">
        <f t="shared" si="35"/>
        <v>0.10664500000000002</v>
      </c>
      <c r="AD57" s="133">
        <f t="shared" si="16"/>
        <v>0.10664500000000002</v>
      </c>
      <c r="AE57" s="132">
        <f t="shared" si="28"/>
        <v>0.83333333333333348</v>
      </c>
      <c r="AF57" s="1">
        <f t="shared" si="17"/>
        <v>1.4678025904202663</v>
      </c>
      <c r="AG57" s="1">
        <f t="shared" si="36"/>
        <v>4.3088888888888885E-2</v>
      </c>
      <c r="AH57" s="1">
        <f t="shared" si="37"/>
        <v>0.1426955491878398</v>
      </c>
      <c r="AI57" s="133">
        <f t="shared" si="19"/>
        <v>0.18578443807672868</v>
      </c>
      <c r="AJ57" s="132">
        <f t="shared" si="20"/>
        <v>1.6666666666666665</v>
      </c>
      <c r="AK57" s="1">
        <f t="shared" si="21"/>
        <v>2.0757863302587016</v>
      </c>
      <c r="AL57" s="1">
        <f t="shared" si="38"/>
        <v>8.6177777777777756E-2</v>
      </c>
      <c r="AM57" s="1">
        <f t="shared" si="45"/>
        <v>0.15427500000000002</v>
      </c>
      <c r="AN57" s="136">
        <f t="shared" si="39"/>
        <v>4.6199999999999998E-2</v>
      </c>
      <c r="AO57" s="133">
        <f t="shared" si="23"/>
        <v>0.28665277777777781</v>
      </c>
      <c r="AP57" s="132">
        <f t="shared" si="40"/>
        <v>4.2334833333333335E-2</v>
      </c>
      <c r="AQ57" s="137">
        <f t="shared" si="41"/>
        <v>0.10664500000000002</v>
      </c>
      <c r="AR57" s="137">
        <f t="shared" si="42"/>
        <v>4.147588250013759E-2</v>
      </c>
      <c r="AS57" s="1">
        <f t="shared" si="43"/>
        <v>5.9279999999999999E-2</v>
      </c>
      <c r="AT57" s="133">
        <f t="shared" si="44"/>
        <v>4.8000000000000001E-2</v>
      </c>
      <c r="AU57" s="132">
        <f t="shared" si="25"/>
        <v>0.87681793168797739</v>
      </c>
      <c r="AV57" s="1">
        <f t="shared" si="26"/>
        <v>30</v>
      </c>
      <c r="AW57" s="133">
        <f t="shared" si="27"/>
        <v>97.160271069292648</v>
      </c>
    </row>
    <row r="58" spans="17:49" x14ac:dyDescent="0.25">
      <c r="Q58">
        <v>51</v>
      </c>
      <c r="R58" s="132">
        <f t="shared" si="0"/>
        <v>18</v>
      </c>
      <c r="S58" s="1">
        <f t="shared" si="1"/>
        <v>1.7</v>
      </c>
      <c r="T58" s="1">
        <f t="shared" si="30"/>
        <v>12</v>
      </c>
      <c r="U58" s="133">
        <f t="shared" si="31"/>
        <v>2.5499999999999998</v>
      </c>
      <c r="V58" s="132">
        <f>IF(Calculations!$B$17=3,2,IF((S58*R58/T58)&lt;((T58*(1-(T58/R58)))/(2*Lm*fsw)),1,2))</f>
        <v>2</v>
      </c>
      <c r="W58" s="1">
        <f t="shared" si="32"/>
        <v>0.33333333333333337</v>
      </c>
      <c r="X58" s="133">
        <f t="shared" si="33"/>
        <v>0.66666666666666663</v>
      </c>
      <c r="Y58" s="132">
        <f t="shared" si="34"/>
        <v>1.6</v>
      </c>
      <c r="Z58" s="1">
        <f t="shared" si="13"/>
        <v>3.3499999999999996</v>
      </c>
      <c r="AA58" s="1">
        <f t="shared" si="14"/>
        <v>2.5914924914676738</v>
      </c>
      <c r="AB58" s="1">
        <v>0</v>
      </c>
      <c r="AC58" s="1">
        <f t="shared" si="35"/>
        <v>0.11081124999999997</v>
      </c>
      <c r="AD58" s="133">
        <f t="shared" si="16"/>
        <v>0.11081124999999997</v>
      </c>
      <c r="AE58" s="132">
        <f t="shared" si="28"/>
        <v>0.85000000000000009</v>
      </c>
      <c r="AF58" s="1">
        <f t="shared" si="17"/>
        <v>1.4961988875517556</v>
      </c>
      <c r="AG58" s="1">
        <f t="shared" si="36"/>
        <v>4.477222222222222E-2</v>
      </c>
      <c r="AH58" s="1">
        <f t="shared" si="37"/>
        <v>0.14554946017159659</v>
      </c>
      <c r="AI58" s="133">
        <f t="shared" si="19"/>
        <v>0.1903216823938188</v>
      </c>
      <c r="AJ58" s="132">
        <f t="shared" si="20"/>
        <v>1.6999999999999997</v>
      </c>
      <c r="AK58" s="1">
        <f t="shared" si="21"/>
        <v>2.1159447587832299</v>
      </c>
      <c r="AL58" s="1">
        <f t="shared" si="38"/>
        <v>8.9544444444444413E-2</v>
      </c>
      <c r="AM58" s="1">
        <f t="shared" si="45"/>
        <v>0.15427500000000002</v>
      </c>
      <c r="AN58" s="136">
        <f t="shared" si="39"/>
        <v>4.6899999999999997E-2</v>
      </c>
      <c r="AO58" s="133">
        <f t="shared" si="23"/>
        <v>0.29071944444444442</v>
      </c>
      <c r="AP58" s="132">
        <f t="shared" si="40"/>
        <v>4.3988708333333321E-2</v>
      </c>
      <c r="AQ58" s="137">
        <f t="shared" si="41"/>
        <v>0.11081124999999997</v>
      </c>
      <c r="AR58" s="137">
        <f t="shared" si="42"/>
        <v>4.147588250013759E-2</v>
      </c>
      <c r="AS58" s="1">
        <f t="shared" si="43"/>
        <v>5.9279999999999999E-2</v>
      </c>
      <c r="AT58" s="133">
        <f t="shared" si="44"/>
        <v>4.8000000000000001E-2</v>
      </c>
      <c r="AU58" s="132">
        <f t="shared" si="25"/>
        <v>0.89540821767173417</v>
      </c>
      <c r="AV58" s="1">
        <f t="shared" si="26"/>
        <v>30.599999999999998</v>
      </c>
      <c r="AW58" s="133">
        <f t="shared" si="27"/>
        <v>97.157019805924193</v>
      </c>
    </row>
    <row r="59" spans="17:49" x14ac:dyDescent="0.25">
      <c r="Q59">
        <v>52</v>
      </c>
      <c r="R59" s="132">
        <f t="shared" si="0"/>
        <v>18</v>
      </c>
      <c r="S59" s="1">
        <f t="shared" si="1"/>
        <v>1.7333333333333334</v>
      </c>
      <c r="T59" s="1">
        <f t="shared" si="30"/>
        <v>12</v>
      </c>
      <c r="U59" s="133">
        <f t="shared" si="31"/>
        <v>2.6</v>
      </c>
      <c r="V59" s="132">
        <f>IF(Calculations!$B$17=3,2,IF((S59*R59/T59)&lt;((T59*(1-(T59/R59)))/(2*Lm*fsw)),1,2))</f>
        <v>2</v>
      </c>
      <c r="W59" s="1">
        <f t="shared" si="32"/>
        <v>0.33333333333333337</v>
      </c>
      <c r="X59" s="133">
        <f t="shared" si="33"/>
        <v>0.66666666666666663</v>
      </c>
      <c r="Y59" s="132">
        <f t="shared" si="34"/>
        <v>1.6</v>
      </c>
      <c r="Z59" s="1">
        <f t="shared" si="13"/>
        <v>3.4000000000000004</v>
      </c>
      <c r="AA59" s="1">
        <f t="shared" si="14"/>
        <v>2.6407069760451147</v>
      </c>
      <c r="AB59" s="1">
        <v>0</v>
      </c>
      <c r="AC59" s="1">
        <f t="shared" si="35"/>
        <v>0.11506000000000002</v>
      </c>
      <c r="AD59" s="133">
        <f t="shared" si="16"/>
        <v>0.11506000000000002</v>
      </c>
      <c r="AE59" s="132">
        <f t="shared" si="28"/>
        <v>0.86666666666666681</v>
      </c>
      <c r="AF59" s="1">
        <f t="shared" si="17"/>
        <v>1.5246128834705697</v>
      </c>
      <c r="AG59" s="1">
        <f t="shared" si="36"/>
        <v>4.6488888888888899E-2</v>
      </c>
      <c r="AH59" s="1">
        <f t="shared" si="37"/>
        <v>0.1484033711553534</v>
      </c>
      <c r="AI59" s="133">
        <f t="shared" si="19"/>
        <v>0.19489226004424232</v>
      </c>
      <c r="AJ59" s="132">
        <f t="shared" si="20"/>
        <v>1.7333333333333334</v>
      </c>
      <c r="AK59" s="1">
        <f t="shared" si="21"/>
        <v>2.1561282171728307</v>
      </c>
      <c r="AL59" s="1">
        <f t="shared" si="38"/>
        <v>9.2977777777777784E-2</v>
      </c>
      <c r="AM59" s="1">
        <f t="shared" si="45"/>
        <v>0.15427500000000002</v>
      </c>
      <c r="AN59" s="136">
        <f t="shared" si="39"/>
        <v>4.7600000000000003E-2</v>
      </c>
      <c r="AO59" s="133">
        <f t="shared" si="23"/>
        <v>0.29485277777777785</v>
      </c>
      <c r="AP59" s="132">
        <f t="shared" si="40"/>
        <v>4.5675333333333339E-2</v>
      </c>
      <c r="AQ59" s="137">
        <f t="shared" si="41"/>
        <v>0.11506000000000002</v>
      </c>
      <c r="AR59" s="137">
        <f t="shared" si="42"/>
        <v>4.147588250013759E-2</v>
      </c>
      <c r="AS59" s="1">
        <f t="shared" si="43"/>
        <v>5.9279999999999999E-2</v>
      </c>
      <c r="AT59" s="133">
        <f t="shared" si="44"/>
        <v>4.8000000000000001E-2</v>
      </c>
      <c r="AU59" s="132">
        <f t="shared" si="25"/>
        <v>0.91429625365549128</v>
      </c>
      <c r="AV59" s="1">
        <f t="shared" si="26"/>
        <v>31.200000000000003</v>
      </c>
      <c r="AW59" s="133">
        <f t="shared" si="27"/>
        <v>97.152993027049689</v>
      </c>
    </row>
    <row r="60" spans="17:49" x14ac:dyDescent="0.25">
      <c r="Q60">
        <v>53</v>
      </c>
      <c r="R60" s="132">
        <f t="shared" si="0"/>
        <v>18</v>
      </c>
      <c r="S60" s="1">
        <f t="shared" si="1"/>
        <v>1.7666666666666666</v>
      </c>
      <c r="T60" s="1">
        <f t="shared" si="30"/>
        <v>12</v>
      </c>
      <c r="U60" s="133">
        <f t="shared" si="31"/>
        <v>2.65</v>
      </c>
      <c r="V60" s="132">
        <f>IF(Calculations!$B$17=3,2,IF((S60*R60/T60)&lt;((T60*(1-(T60/R60)))/(2*Lm*fsw)),1,2))</f>
        <v>2</v>
      </c>
      <c r="W60" s="1">
        <f t="shared" si="32"/>
        <v>0.33333333333333337</v>
      </c>
      <c r="X60" s="133">
        <f t="shared" si="33"/>
        <v>0.66666666666666663</v>
      </c>
      <c r="Y60" s="132">
        <f t="shared" si="34"/>
        <v>1.6</v>
      </c>
      <c r="Z60" s="1">
        <f t="shared" si="13"/>
        <v>3.45</v>
      </c>
      <c r="AA60" s="1">
        <f t="shared" si="14"/>
        <v>2.6899504332484145</v>
      </c>
      <c r="AB60" s="1">
        <v>0</v>
      </c>
      <c r="AC60" s="1">
        <f t="shared" si="35"/>
        <v>0.11939125</v>
      </c>
      <c r="AD60" s="133">
        <f t="shared" si="16"/>
        <v>0.11939125</v>
      </c>
      <c r="AE60" s="132">
        <f t="shared" si="28"/>
        <v>0.88333333333333341</v>
      </c>
      <c r="AF60" s="1">
        <f t="shared" si="17"/>
        <v>1.5530436067427229</v>
      </c>
      <c r="AG60" s="1">
        <f t="shared" si="36"/>
        <v>4.8238888888888908E-2</v>
      </c>
      <c r="AH60" s="1">
        <f t="shared" si="37"/>
        <v>0.15125728213911016</v>
      </c>
      <c r="AI60" s="133">
        <f t="shared" si="19"/>
        <v>0.19949617102799908</v>
      </c>
      <c r="AJ60" s="132">
        <f t="shared" si="20"/>
        <v>1.7666666666666666</v>
      </c>
      <c r="AK60" s="1">
        <f t="shared" si="21"/>
        <v>2.1963353316123859</v>
      </c>
      <c r="AL60" s="1">
        <f t="shared" si="38"/>
        <v>9.6477777777777773E-2</v>
      </c>
      <c r="AM60" s="1">
        <f t="shared" si="45"/>
        <v>0.15427500000000002</v>
      </c>
      <c r="AN60" s="136">
        <f t="shared" si="39"/>
        <v>4.8300000000000003E-2</v>
      </c>
      <c r="AO60" s="133">
        <f t="shared" si="23"/>
        <v>0.29905277777777783</v>
      </c>
      <c r="AP60" s="132">
        <f t="shared" si="40"/>
        <v>4.7394708333333327E-2</v>
      </c>
      <c r="AQ60" s="137">
        <f t="shared" si="41"/>
        <v>0.11939125</v>
      </c>
      <c r="AR60" s="137">
        <f t="shared" si="42"/>
        <v>4.147588250013759E-2</v>
      </c>
      <c r="AS60" s="1">
        <f t="shared" si="43"/>
        <v>5.9279999999999999E-2</v>
      </c>
      <c r="AT60" s="133">
        <f t="shared" si="44"/>
        <v>4.8000000000000001E-2</v>
      </c>
      <c r="AU60" s="132">
        <f t="shared" si="25"/>
        <v>0.93348203963924781</v>
      </c>
      <c r="AV60" s="1">
        <f t="shared" si="26"/>
        <v>31.799999999999997</v>
      </c>
      <c r="AW60" s="133">
        <f t="shared" si="27"/>
        <v>97.148234830291429</v>
      </c>
    </row>
    <row r="61" spans="17:49" x14ac:dyDescent="0.25">
      <c r="Q61">
        <v>54</v>
      </c>
      <c r="R61" s="132">
        <f t="shared" si="0"/>
        <v>18</v>
      </c>
      <c r="S61" s="1">
        <f t="shared" si="1"/>
        <v>1.8</v>
      </c>
      <c r="T61" s="1">
        <f t="shared" si="30"/>
        <v>12</v>
      </c>
      <c r="U61" s="133">
        <f t="shared" si="31"/>
        <v>2.6999999999999997</v>
      </c>
      <c r="V61" s="132">
        <f>IF(Calculations!$B$17=3,2,IF((S61*R61/T61)&lt;((T61*(1-(T61/R61)))/(2*Lm*fsw)),1,2))</f>
        <v>2</v>
      </c>
      <c r="W61" s="1">
        <f t="shared" si="32"/>
        <v>0.33333333333333337</v>
      </c>
      <c r="X61" s="133">
        <f t="shared" si="33"/>
        <v>0.66666666666666663</v>
      </c>
      <c r="Y61" s="132">
        <f t="shared" si="34"/>
        <v>1.6</v>
      </c>
      <c r="Z61" s="1">
        <f t="shared" si="13"/>
        <v>3.5</v>
      </c>
      <c r="AA61" s="1">
        <f t="shared" si="14"/>
        <v>2.7392213005402342</v>
      </c>
      <c r="AB61" s="1">
        <v>0</v>
      </c>
      <c r="AC61" s="1">
        <f t="shared" si="35"/>
        <v>0.12380499999999998</v>
      </c>
      <c r="AD61" s="133">
        <f t="shared" si="16"/>
        <v>0.12380499999999998</v>
      </c>
      <c r="AE61" s="132">
        <f t="shared" si="28"/>
        <v>0.9</v>
      </c>
      <c r="AF61" s="1">
        <f t="shared" si="17"/>
        <v>1.5814901552368612</v>
      </c>
      <c r="AG61" s="1">
        <f t="shared" si="36"/>
        <v>5.0022222222222225E-2</v>
      </c>
      <c r="AH61" s="1">
        <f t="shared" si="37"/>
        <v>0.15411119312286695</v>
      </c>
      <c r="AI61" s="133">
        <f t="shared" si="19"/>
        <v>0.20413341534508916</v>
      </c>
      <c r="AJ61" s="132">
        <f t="shared" si="20"/>
        <v>1.7999999999999998</v>
      </c>
      <c r="AK61" s="1">
        <f t="shared" si="21"/>
        <v>2.2365648262955005</v>
      </c>
      <c r="AL61" s="1">
        <f t="shared" si="38"/>
        <v>0.10004444444444445</v>
      </c>
      <c r="AM61" s="1">
        <f t="shared" si="45"/>
        <v>0.15427500000000002</v>
      </c>
      <c r="AN61" s="136">
        <f t="shared" si="39"/>
        <v>4.9000000000000002E-2</v>
      </c>
      <c r="AO61" s="133">
        <f t="shared" si="23"/>
        <v>0.30331944444444447</v>
      </c>
      <c r="AP61" s="132">
        <f t="shared" si="40"/>
        <v>4.914683333333332E-2</v>
      </c>
      <c r="AQ61" s="137">
        <f t="shared" si="41"/>
        <v>0.12380499999999998</v>
      </c>
      <c r="AR61" s="137">
        <f t="shared" si="42"/>
        <v>4.147588250013759E-2</v>
      </c>
      <c r="AS61" s="1">
        <f t="shared" si="43"/>
        <v>5.9279999999999999E-2</v>
      </c>
      <c r="AT61" s="133">
        <f t="shared" si="44"/>
        <v>4.8000000000000001E-2</v>
      </c>
      <c r="AU61" s="132">
        <f t="shared" si="25"/>
        <v>0.95296557562300444</v>
      </c>
      <c r="AV61" s="1">
        <f t="shared" si="26"/>
        <v>32.4</v>
      </c>
      <c r="AW61" s="133">
        <f t="shared" si="27"/>
        <v>97.142786078610328</v>
      </c>
    </row>
    <row r="62" spans="17:49" x14ac:dyDescent="0.25">
      <c r="Q62">
        <v>55</v>
      </c>
      <c r="R62" s="132">
        <f t="shared" si="0"/>
        <v>18</v>
      </c>
      <c r="S62" s="1">
        <f t="shared" si="1"/>
        <v>1.8333333333333333</v>
      </c>
      <c r="T62" s="1">
        <f t="shared" si="30"/>
        <v>12</v>
      </c>
      <c r="U62" s="133">
        <f t="shared" si="31"/>
        <v>2.75</v>
      </c>
      <c r="V62" s="132">
        <f>IF(Calculations!$B$17=3,2,IF((S62*R62/T62)&lt;((T62*(1-(T62/R62)))/(2*Lm*fsw)),1,2))</f>
        <v>2</v>
      </c>
      <c r="W62" s="1">
        <f t="shared" si="32"/>
        <v>0.33333333333333337</v>
      </c>
      <c r="X62" s="133">
        <f t="shared" si="33"/>
        <v>0.66666666666666663</v>
      </c>
      <c r="Y62" s="132">
        <f t="shared" si="34"/>
        <v>1.6</v>
      </c>
      <c r="Z62" s="1">
        <f t="shared" si="13"/>
        <v>3.55</v>
      </c>
      <c r="AA62" s="1">
        <f t="shared" si="14"/>
        <v>2.7885181249784505</v>
      </c>
      <c r="AB62" s="1">
        <v>0</v>
      </c>
      <c r="AC62" s="1">
        <f t="shared" si="35"/>
        <v>0.12830125000000001</v>
      </c>
      <c r="AD62" s="133">
        <f t="shared" si="16"/>
        <v>0.12830125000000001</v>
      </c>
      <c r="AE62" s="132">
        <f t="shared" si="28"/>
        <v>0.91666666666666674</v>
      </c>
      <c r="AF62" s="1">
        <f t="shared" si="17"/>
        <v>1.609951690096459</v>
      </c>
      <c r="AG62" s="1">
        <f t="shared" si="36"/>
        <v>5.1838888888888893E-2</v>
      </c>
      <c r="AH62" s="1">
        <f t="shared" si="37"/>
        <v>0.15696510410662379</v>
      </c>
      <c r="AI62" s="133">
        <f t="shared" si="19"/>
        <v>0.20880399299551267</v>
      </c>
      <c r="AJ62" s="132">
        <f t="shared" si="20"/>
        <v>1.8333333333333333</v>
      </c>
      <c r="AK62" s="1">
        <f t="shared" si="21"/>
        <v>2.2768155148998983</v>
      </c>
      <c r="AL62" s="1">
        <f t="shared" si="38"/>
        <v>0.10367777777777779</v>
      </c>
      <c r="AM62" s="1">
        <f t="shared" si="45"/>
        <v>0.15427500000000002</v>
      </c>
      <c r="AN62" s="136">
        <f t="shared" si="39"/>
        <v>4.9700000000000001E-2</v>
      </c>
      <c r="AO62" s="133">
        <f t="shared" si="23"/>
        <v>0.30765277777777783</v>
      </c>
      <c r="AP62" s="132">
        <f t="shared" si="40"/>
        <v>5.0931708333333332E-2</v>
      </c>
      <c r="AQ62" s="137">
        <f t="shared" si="41"/>
        <v>0.12830125000000001</v>
      </c>
      <c r="AR62" s="137">
        <f t="shared" si="42"/>
        <v>4.147588250013759E-2</v>
      </c>
      <c r="AS62" s="1">
        <f t="shared" si="43"/>
        <v>5.9279999999999999E-2</v>
      </c>
      <c r="AT62" s="133">
        <f t="shared" si="44"/>
        <v>4.8000000000000001E-2</v>
      </c>
      <c r="AU62" s="132">
        <f t="shared" si="25"/>
        <v>0.97274686160676149</v>
      </c>
      <c r="AV62" s="1">
        <f t="shared" si="26"/>
        <v>33</v>
      </c>
      <c r="AW62" s="133">
        <f t="shared" si="27"/>
        <v>97.136684691498772</v>
      </c>
    </row>
    <row r="63" spans="17:49" x14ac:dyDescent="0.25">
      <c r="Q63">
        <v>56</v>
      </c>
      <c r="R63" s="132">
        <f t="shared" si="0"/>
        <v>18</v>
      </c>
      <c r="S63" s="1">
        <f t="shared" si="1"/>
        <v>1.8666666666666667</v>
      </c>
      <c r="T63" s="1">
        <f t="shared" si="30"/>
        <v>12</v>
      </c>
      <c r="U63" s="133">
        <f t="shared" si="31"/>
        <v>2.8000000000000003</v>
      </c>
      <c r="V63" s="132">
        <f>IF(Calculations!$B$17=3,2,IF((S63*R63/T63)&lt;((T63*(1-(T63/R63)))/(2*Lm*fsw)),1,2))</f>
        <v>2</v>
      </c>
      <c r="W63" s="1">
        <f t="shared" si="32"/>
        <v>0.33333333333333337</v>
      </c>
      <c r="X63" s="133">
        <f t="shared" si="33"/>
        <v>0.66666666666666663</v>
      </c>
      <c r="Y63" s="132">
        <f t="shared" si="34"/>
        <v>1.6</v>
      </c>
      <c r="Z63" s="1">
        <f t="shared" si="13"/>
        <v>3.6000000000000005</v>
      </c>
      <c r="AA63" s="1">
        <f t="shared" si="14"/>
        <v>2.8378395538390353</v>
      </c>
      <c r="AB63" s="1">
        <v>0</v>
      </c>
      <c r="AC63" s="1">
        <f t="shared" si="35"/>
        <v>0.13288000000000003</v>
      </c>
      <c r="AD63" s="133">
        <f t="shared" si="16"/>
        <v>0.13288000000000003</v>
      </c>
      <c r="AE63" s="132">
        <f t="shared" si="28"/>
        <v>0.93333333333333357</v>
      </c>
      <c r="AF63" s="1">
        <f t="shared" si="17"/>
        <v>1.6384274303259347</v>
      </c>
      <c r="AG63" s="1">
        <f t="shared" si="36"/>
        <v>5.3688888888888918E-2</v>
      </c>
      <c r="AH63" s="1">
        <f t="shared" si="37"/>
        <v>0.1598190150903806</v>
      </c>
      <c r="AI63" s="133">
        <f t="shared" si="19"/>
        <v>0.21350790397926953</v>
      </c>
      <c r="AJ63" s="132">
        <f t="shared" si="20"/>
        <v>1.8666666666666667</v>
      </c>
      <c r="AK63" s="1">
        <f t="shared" si="21"/>
        <v>2.3170862929310361</v>
      </c>
      <c r="AL63" s="1">
        <f t="shared" si="38"/>
        <v>0.10737777777777784</v>
      </c>
      <c r="AM63" s="1">
        <f t="shared" si="45"/>
        <v>0.15427500000000002</v>
      </c>
      <c r="AN63" s="136">
        <f t="shared" si="39"/>
        <v>5.0400000000000007E-2</v>
      </c>
      <c r="AO63" s="133">
        <f t="shared" si="23"/>
        <v>0.31205277777777785</v>
      </c>
      <c r="AP63" s="132">
        <f t="shared" si="40"/>
        <v>5.2749333333333336E-2</v>
      </c>
      <c r="AQ63" s="137">
        <f t="shared" si="41"/>
        <v>0.13288000000000003</v>
      </c>
      <c r="AR63" s="137">
        <f t="shared" si="42"/>
        <v>4.147588250013759E-2</v>
      </c>
      <c r="AS63" s="1">
        <f t="shared" si="43"/>
        <v>5.9279999999999999E-2</v>
      </c>
      <c r="AT63" s="133">
        <f t="shared" si="44"/>
        <v>4.8000000000000001E-2</v>
      </c>
      <c r="AU63" s="132">
        <f t="shared" si="25"/>
        <v>0.99282589759051831</v>
      </c>
      <c r="AV63" s="1">
        <f t="shared" si="26"/>
        <v>33.6</v>
      </c>
      <c r="AW63" s="133">
        <f t="shared" si="27"/>
        <v>97.129965905272655</v>
      </c>
    </row>
    <row r="64" spans="17:49" x14ac:dyDescent="0.25">
      <c r="Q64">
        <v>57</v>
      </c>
      <c r="R64" s="132">
        <f t="shared" si="0"/>
        <v>18</v>
      </c>
      <c r="S64" s="1">
        <f t="shared" si="1"/>
        <v>1.9</v>
      </c>
      <c r="T64" s="1">
        <f t="shared" si="30"/>
        <v>12</v>
      </c>
      <c r="U64" s="133">
        <f t="shared" si="31"/>
        <v>2.8499999999999996</v>
      </c>
      <c r="V64" s="132">
        <f>IF(Calculations!$B$17=3,2,IF((S64*R64/T64)&lt;((T64*(1-(T64/R64)))/(2*Lm*fsw)),1,2))</f>
        <v>2</v>
      </c>
      <c r="W64" s="1">
        <f t="shared" si="32"/>
        <v>0.33333333333333337</v>
      </c>
      <c r="X64" s="133">
        <f t="shared" si="33"/>
        <v>0.66666666666666663</v>
      </c>
      <c r="Y64" s="132">
        <f t="shared" si="34"/>
        <v>1.6</v>
      </c>
      <c r="Z64" s="1">
        <f t="shared" si="13"/>
        <v>3.6499999999999995</v>
      </c>
      <c r="AA64" s="1">
        <f t="shared" si="14"/>
        <v>2.8871843261789385</v>
      </c>
      <c r="AB64" s="1">
        <v>0</v>
      </c>
      <c r="AC64" s="1">
        <f t="shared" si="35"/>
        <v>0.13754124999999998</v>
      </c>
      <c r="AD64" s="133">
        <f t="shared" si="16"/>
        <v>0.13754124999999998</v>
      </c>
      <c r="AE64" s="132">
        <f t="shared" si="28"/>
        <v>0.95</v>
      </c>
      <c r="AF64" s="1">
        <f t="shared" si="17"/>
        <v>1.6669166479194784</v>
      </c>
      <c r="AG64" s="1">
        <f t="shared" si="36"/>
        <v>5.5572222222222203E-2</v>
      </c>
      <c r="AH64" s="1">
        <f t="shared" si="37"/>
        <v>0.16267292607413736</v>
      </c>
      <c r="AI64" s="133">
        <f t="shared" si="19"/>
        <v>0.21824514829635955</v>
      </c>
      <c r="AJ64" s="132">
        <f t="shared" si="20"/>
        <v>1.8999999999999997</v>
      </c>
      <c r="AK64" s="1">
        <f t="shared" si="21"/>
        <v>2.3573761308332237</v>
      </c>
      <c r="AL64" s="1">
        <f t="shared" si="38"/>
        <v>0.11114444444444441</v>
      </c>
      <c r="AM64" s="1">
        <f t="shared" si="45"/>
        <v>0.15427500000000002</v>
      </c>
      <c r="AN64" s="136">
        <f t="shared" si="39"/>
        <v>5.1099999999999993E-2</v>
      </c>
      <c r="AO64" s="133">
        <f t="shared" si="23"/>
        <v>0.31651944444444441</v>
      </c>
      <c r="AP64" s="132">
        <f t="shared" si="40"/>
        <v>5.4599708333333316E-2</v>
      </c>
      <c r="AQ64" s="137">
        <f t="shared" si="41"/>
        <v>0.13754124999999998</v>
      </c>
      <c r="AR64" s="137">
        <f t="shared" si="42"/>
        <v>4.147588250013759E-2</v>
      </c>
      <c r="AS64" s="1">
        <f t="shared" si="43"/>
        <v>5.9279999999999999E-2</v>
      </c>
      <c r="AT64" s="133">
        <f t="shared" si="44"/>
        <v>4.8000000000000001E-2</v>
      </c>
      <c r="AU64" s="132">
        <f t="shared" si="25"/>
        <v>1.0132026835742749</v>
      </c>
      <c r="AV64" s="1">
        <f t="shared" si="26"/>
        <v>34.199999999999996</v>
      </c>
      <c r="AW64" s="133">
        <f t="shared" si="27"/>
        <v>97.122662506222696</v>
      </c>
    </row>
    <row r="65" spans="17:49" x14ac:dyDescent="0.25">
      <c r="Q65">
        <v>58</v>
      </c>
      <c r="R65" s="132">
        <f t="shared" si="0"/>
        <v>18</v>
      </c>
      <c r="S65" s="1">
        <f t="shared" si="1"/>
        <v>1.9333333333333333</v>
      </c>
      <c r="T65" s="1">
        <f t="shared" si="30"/>
        <v>12</v>
      </c>
      <c r="U65" s="133">
        <f t="shared" si="31"/>
        <v>2.9</v>
      </c>
      <c r="V65" s="132">
        <f>IF(Calculations!$B$17=3,2,IF((S65*R65/T65)&lt;((T65*(1-(T65/R65)))/(2*Lm*fsw)),1,2))</f>
        <v>2</v>
      </c>
      <c r="W65" s="1">
        <f t="shared" si="32"/>
        <v>0.33333333333333337</v>
      </c>
      <c r="X65" s="133">
        <f t="shared" si="33"/>
        <v>0.66666666666666663</v>
      </c>
      <c r="Y65" s="132">
        <f t="shared" si="34"/>
        <v>1.6</v>
      </c>
      <c r="Z65" s="1">
        <f t="shared" si="13"/>
        <v>3.7</v>
      </c>
      <c r="AA65" s="1">
        <f t="shared" si="14"/>
        <v>2.9365512652316039</v>
      </c>
      <c r="AB65" s="1">
        <v>0</v>
      </c>
      <c r="AC65" s="1">
        <f t="shared" si="35"/>
        <v>0.14228499999999999</v>
      </c>
      <c r="AD65" s="133">
        <f t="shared" si="16"/>
        <v>0.14228499999999999</v>
      </c>
      <c r="AE65" s="132">
        <f t="shared" si="28"/>
        <v>0.96666666666666679</v>
      </c>
      <c r="AF65" s="1">
        <f t="shared" si="17"/>
        <v>1.6954186634706028</v>
      </c>
      <c r="AG65" s="1">
        <f t="shared" si="36"/>
        <v>5.7488888888888895E-2</v>
      </c>
      <c r="AH65" s="1">
        <f t="shared" si="37"/>
        <v>0.16552683705789414</v>
      </c>
      <c r="AI65" s="133">
        <f t="shared" si="19"/>
        <v>0.22301572594678304</v>
      </c>
      <c r="AJ65" s="132">
        <f t="shared" si="20"/>
        <v>1.9333333333333331</v>
      </c>
      <c r="AK65" s="1">
        <f t="shared" si="21"/>
        <v>2.3976840677805926</v>
      </c>
      <c r="AL65" s="1">
        <f t="shared" si="38"/>
        <v>0.11497777777777779</v>
      </c>
      <c r="AM65" s="1">
        <f t="shared" si="45"/>
        <v>0.15427500000000002</v>
      </c>
      <c r="AN65" s="136">
        <f t="shared" si="39"/>
        <v>5.1800000000000006E-2</v>
      </c>
      <c r="AO65" s="133">
        <f t="shared" si="23"/>
        <v>0.3210527777777778</v>
      </c>
      <c r="AP65" s="132">
        <f t="shared" si="40"/>
        <v>5.6482833333333329E-2</v>
      </c>
      <c r="AQ65" s="137">
        <f t="shared" si="41"/>
        <v>0.14228499999999999</v>
      </c>
      <c r="AR65" s="137">
        <f t="shared" si="42"/>
        <v>4.147588250013759E-2</v>
      </c>
      <c r="AS65" s="1">
        <f t="shared" si="43"/>
        <v>5.9279999999999999E-2</v>
      </c>
      <c r="AT65" s="133">
        <f t="shared" si="44"/>
        <v>4.8000000000000001E-2</v>
      </c>
      <c r="AU65" s="132">
        <f t="shared" si="25"/>
        <v>1.0338772195580317</v>
      </c>
      <c r="AV65" s="1">
        <f t="shared" si="26"/>
        <v>34.799999999999997</v>
      </c>
      <c r="AW65" s="133">
        <f t="shared" si="27"/>
        <v>97.114805039869537</v>
      </c>
    </row>
    <row r="66" spans="17:49" x14ac:dyDescent="0.25">
      <c r="Q66">
        <v>59</v>
      </c>
      <c r="R66" s="132">
        <f t="shared" si="0"/>
        <v>18</v>
      </c>
      <c r="S66" s="1">
        <f t="shared" si="1"/>
        <v>1.9666666666666666</v>
      </c>
      <c r="T66" s="1">
        <f t="shared" si="30"/>
        <v>12</v>
      </c>
      <c r="U66" s="133">
        <f t="shared" si="31"/>
        <v>2.9499999999999997</v>
      </c>
      <c r="V66" s="132">
        <f>IF(Calculations!$B$17=3,2,IF((S66*R66/T66)&lt;((T66*(1-(T66/R66)))/(2*Lm*fsw)),1,2))</f>
        <v>2</v>
      </c>
      <c r="W66" s="1">
        <f t="shared" si="32"/>
        <v>0.33333333333333337</v>
      </c>
      <c r="X66" s="133">
        <f t="shared" si="33"/>
        <v>0.66666666666666663</v>
      </c>
      <c r="Y66" s="132">
        <f t="shared" si="34"/>
        <v>1.6</v>
      </c>
      <c r="Z66" s="1">
        <f t="shared" si="13"/>
        <v>3.75</v>
      </c>
      <c r="AA66" s="1">
        <f t="shared" si="14"/>
        <v>2.9859392715414241</v>
      </c>
      <c r="AB66" s="1">
        <v>0</v>
      </c>
      <c r="AC66" s="1">
        <f t="shared" si="35"/>
        <v>0.14711124999999994</v>
      </c>
      <c r="AD66" s="133">
        <f t="shared" si="16"/>
        <v>0.14711124999999994</v>
      </c>
      <c r="AE66" s="132">
        <f t="shared" si="28"/>
        <v>0.98333333333333339</v>
      </c>
      <c r="AF66" s="1">
        <f t="shared" si="17"/>
        <v>1.7239328422083167</v>
      </c>
      <c r="AG66" s="1">
        <f t="shared" si="36"/>
        <v>5.9438888888888902E-2</v>
      </c>
      <c r="AH66" s="1">
        <f t="shared" si="37"/>
        <v>0.16838074804165093</v>
      </c>
      <c r="AI66" s="133">
        <f t="shared" si="19"/>
        <v>0.22781963693053983</v>
      </c>
      <c r="AJ66" s="132">
        <f t="shared" si="20"/>
        <v>1.9666666666666663</v>
      </c>
      <c r="AK66" s="1">
        <f t="shared" si="21"/>
        <v>2.4380092060713983</v>
      </c>
      <c r="AL66" s="1">
        <f t="shared" si="38"/>
        <v>0.1188777777777778</v>
      </c>
      <c r="AM66" s="1">
        <f t="shared" si="45"/>
        <v>0.15427500000000002</v>
      </c>
      <c r="AN66" s="136">
        <f t="shared" si="39"/>
        <v>5.2499999999999998E-2</v>
      </c>
      <c r="AO66" s="133">
        <f t="shared" si="23"/>
        <v>0.32565277777777779</v>
      </c>
      <c r="AP66" s="132">
        <f t="shared" si="40"/>
        <v>5.8398708333333306E-2</v>
      </c>
      <c r="AQ66" s="137">
        <f t="shared" si="41"/>
        <v>0.14711124999999994</v>
      </c>
      <c r="AR66" s="137">
        <f t="shared" si="42"/>
        <v>4.147588250013759E-2</v>
      </c>
      <c r="AS66" s="1">
        <f t="shared" si="43"/>
        <v>5.9279999999999999E-2</v>
      </c>
      <c r="AT66" s="133">
        <f t="shared" si="44"/>
        <v>4.8000000000000001E-2</v>
      </c>
      <c r="AU66" s="132">
        <f t="shared" si="25"/>
        <v>1.0548495055417884</v>
      </c>
      <c r="AV66" s="1">
        <f t="shared" si="26"/>
        <v>35.4</v>
      </c>
      <c r="AW66" s="133">
        <f t="shared" si="27"/>
        <v>97.10642199913228</v>
      </c>
    </row>
    <row r="67" spans="17:49" x14ac:dyDescent="0.25">
      <c r="Q67">
        <v>60</v>
      </c>
      <c r="R67" s="132">
        <f t="shared" si="0"/>
        <v>18</v>
      </c>
      <c r="S67" s="1">
        <f t="shared" si="1"/>
        <v>2</v>
      </c>
      <c r="T67" s="1">
        <f t="shared" si="30"/>
        <v>12</v>
      </c>
      <c r="U67" s="133">
        <f t="shared" si="31"/>
        <v>3</v>
      </c>
      <c r="V67" s="132">
        <f>IF(Calculations!$B$17=3,2,IF((S67*R67/T67)&lt;((T67*(1-(T67/R67)))/(2*Lm*fsw)),1,2))</f>
        <v>2</v>
      </c>
      <c r="W67" s="1">
        <f t="shared" si="32"/>
        <v>0.33333333333333337</v>
      </c>
      <c r="X67" s="133">
        <f t="shared" si="33"/>
        <v>0.66666666666666663</v>
      </c>
      <c r="Y67" s="132">
        <f t="shared" si="34"/>
        <v>1.6</v>
      </c>
      <c r="Z67" s="1">
        <f t="shared" si="13"/>
        <v>3.8</v>
      </c>
      <c r="AA67" s="1">
        <f t="shared" si="14"/>
        <v>3.035347316755256</v>
      </c>
      <c r="AB67" s="1">
        <v>0</v>
      </c>
      <c r="AC67" s="1">
        <f t="shared" si="35"/>
        <v>0.15201999999999999</v>
      </c>
      <c r="AD67" s="133">
        <f t="shared" si="16"/>
        <v>0.15201999999999999</v>
      </c>
      <c r="AE67" s="132">
        <f t="shared" si="28"/>
        <v>1</v>
      </c>
      <c r="AF67" s="1">
        <f t="shared" si="17"/>
        <v>1.7524585904126555</v>
      </c>
      <c r="AG67" s="1">
        <f t="shared" si="36"/>
        <v>6.1422222222222232E-2</v>
      </c>
      <c r="AH67" s="1">
        <f t="shared" si="37"/>
        <v>0.17123465902540777</v>
      </c>
      <c r="AI67" s="133">
        <f t="shared" si="19"/>
        <v>0.23265688124763001</v>
      </c>
      <c r="AJ67" s="132">
        <f t="shared" si="20"/>
        <v>2</v>
      </c>
      <c r="AK67" s="1">
        <f t="shared" si="21"/>
        <v>2.4783507060588139</v>
      </c>
      <c r="AL67" s="1">
        <f t="shared" si="38"/>
        <v>0.12284444444444444</v>
      </c>
      <c r="AM67" s="1">
        <f t="shared" si="45"/>
        <v>0.15427500000000002</v>
      </c>
      <c r="AN67" s="136">
        <f t="shared" si="39"/>
        <v>5.3199999999999997E-2</v>
      </c>
      <c r="AO67" s="133">
        <f t="shared" si="23"/>
        <v>0.3303194444444445</v>
      </c>
      <c r="AP67" s="132">
        <f t="shared" si="40"/>
        <v>6.0347333333333322E-2</v>
      </c>
      <c r="AQ67" s="137">
        <f t="shared" si="41"/>
        <v>0.15201999999999999</v>
      </c>
      <c r="AR67" s="137">
        <f t="shared" si="42"/>
        <v>4.147588250013759E-2</v>
      </c>
      <c r="AS67" s="1">
        <f t="shared" si="43"/>
        <v>5.9279999999999999E-2</v>
      </c>
      <c r="AT67" s="133">
        <f t="shared" si="44"/>
        <v>4.8000000000000001E-2</v>
      </c>
      <c r="AU67" s="132">
        <f t="shared" si="25"/>
        <v>1.0761195415255456</v>
      </c>
      <c r="AV67" s="1">
        <f t="shared" si="26"/>
        <v>36</v>
      </c>
      <c r="AW67" s="133">
        <f t="shared" si="27"/>
        <v>97.097539993848926</v>
      </c>
    </row>
    <row r="68" spans="17:49" x14ac:dyDescent="0.25">
      <c r="Q68">
        <v>61</v>
      </c>
      <c r="R68" s="132">
        <f t="shared" si="0"/>
        <v>18</v>
      </c>
      <c r="S68" s="1">
        <f t="shared" si="1"/>
        <v>2.0333333333333332</v>
      </c>
      <c r="T68" s="1">
        <f t="shared" si="30"/>
        <v>12</v>
      </c>
      <c r="U68" s="133">
        <f t="shared" si="31"/>
        <v>3.0499999999999994</v>
      </c>
      <c r="V68" s="132">
        <f>IF(Calculations!$B$17=3,2,IF((S68*R68/T68)&lt;((T68*(1-(T68/R68)))/(2*Lm*fsw)),1,2))</f>
        <v>2</v>
      </c>
      <c r="W68" s="1">
        <f t="shared" si="32"/>
        <v>0.33333333333333337</v>
      </c>
      <c r="X68" s="133">
        <f t="shared" si="33"/>
        <v>0.66666666666666663</v>
      </c>
      <c r="Y68" s="132">
        <f t="shared" si="34"/>
        <v>1.6</v>
      </c>
      <c r="Z68" s="1">
        <f t="shared" si="13"/>
        <v>3.8499999999999996</v>
      </c>
      <c r="AA68" s="1">
        <f t="shared" si="14"/>
        <v>3.0847744379992079</v>
      </c>
      <c r="AB68" s="1">
        <v>0</v>
      </c>
      <c r="AC68" s="1">
        <f t="shared" si="35"/>
        <v>0.15701124999999994</v>
      </c>
      <c r="AD68" s="133">
        <f t="shared" si="16"/>
        <v>0.15701124999999994</v>
      </c>
      <c r="AE68" s="132">
        <f t="shared" si="28"/>
        <v>1.0166666666666666</v>
      </c>
      <c r="AF68" s="1">
        <f t="shared" si="17"/>
        <v>1.7809953521681197</v>
      </c>
      <c r="AG68" s="1">
        <f t="shared" si="36"/>
        <v>6.3438888888888892E-2</v>
      </c>
      <c r="AH68" s="1">
        <f t="shared" si="37"/>
        <v>0.17408857000916453</v>
      </c>
      <c r="AI68" s="133">
        <f t="shared" si="19"/>
        <v>0.23752745889805343</v>
      </c>
      <c r="AJ68" s="132">
        <f t="shared" si="20"/>
        <v>2.0333333333333328</v>
      </c>
      <c r="AK68" s="1">
        <f t="shared" si="21"/>
        <v>2.5187077815596011</v>
      </c>
      <c r="AL68" s="1">
        <f t="shared" si="38"/>
        <v>0.12687777777777773</v>
      </c>
      <c r="AM68" s="1">
        <f t="shared" si="45"/>
        <v>0.15427500000000002</v>
      </c>
      <c r="AN68" s="136">
        <f t="shared" si="39"/>
        <v>5.3899999999999997E-2</v>
      </c>
      <c r="AO68" s="133">
        <f t="shared" si="23"/>
        <v>0.33505277777777775</v>
      </c>
      <c r="AP68" s="132">
        <f t="shared" si="40"/>
        <v>6.2328708333333302E-2</v>
      </c>
      <c r="AQ68" s="137">
        <f t="shared" si="41"/>
        <v>0.15701124999999994</v>
      </c>
      <c r="AR68" s="137">
        <f t="shared" si="42"/>
        <v>4.147588250013759E-2</v>
      </c>
      <c r="AS68" s="1">
        <f t="shared" si="43"/>
        <v>5.9279999999999999E-2</v>
      </c>
      <c r="AT68" s="133">
        <f t="shared" si="44"/>
        <v>4.8000000000000001E-2</v>
      </c>
      <c r="AU68" s="132">
        <f t="shared" si="25"/>
        <v>1.097687327509302</v>
      </c>
      <c r="AV68" s="1">
        <f t="shared" si="26"/>
        <v>36.599999999999994</v>
      </c>
      <c r="AW68" s="133">
        <f t="shared" si="27"/>
        <v>97.088183903768851</v>
      </c>
    </row>
    <row r="69" spans="17:49" x14ac:dyDescent="0.25">
      <c r="Q69">
        <v>62</v>
      </c>
      <c r="R69" s="132">
        <f t="shared" si="0"/>
        <v>18</v>
      </c>
      <c r="S69" s="1">
        <f t="shared" si="1"/>
        <v>2.0666666666666664</v>
      </c>
      <c r="T69" s="1">
        <f t="shared" si="30"/>
        <v>12</v>
      </c>
      <c r="U69" s="133">
        <f t="shared" si="31"/>
        <v>3.0999999999999996</v>
      </c>
      <c r="V69" s="132">
        <f>IF(Calculations!$B$17=3,2,IF((S69*R69/T69)&lt;((T69*(1-(T69/R69)))/(2*Lm*fsw)),1,2))</f>
        <v>2</v>
      </c>
      <c r="W69" s="1">
        <f t="shared" si="32"/>
        <v>0.33333333333333337</v>
      </c>
      <c r="X69" s="133">
        <f t="shared" si="33"/>
        <v>0.66666666666666663</v>
      </c>
      <c r="Y69" s="132">
        <f t="shared" si="34"/>
        <v>1.6</v>
      </c>
      <c r="Z69" s="1">
        <f t="shared" si="13"/>
        <v>3.8999999999999995</v>
      </c>
      <c r="AA69" s="1">
        <f t="shared" si="14"/>
        <v>3.1342197327777339</v>
      </c>
      <c r="AB69" s="1">
        <v>0</v>
      </c>
      <c r="AC69" s="1">
        <f t="shared" si="35"/>
        <v>0.16208499999999995</v>
      </c>
      <c r="AD69" s="133">
        <f t="shared" si="16"/>
        <v>0.16208499999999995</v>
      </c>
      <c r="AE69" s="132">
        <f t="shared" si="28"/>
        <v>1.0333333333333334</v>
      </c>
      <c r="AF69" s="1">
        <f t="shared" si="17"/>
        <v>1.8095426064186617</v>
      </c>
      <c r="AG69" s="1">
        <f t="shared" si="36"/>
        <v>6.5488888888888874E-2</v>
      </c>
      <c r="AH69" s="1">
        <f t="shared" si="37"/>
        <v>0.17694248099292134</v>
      </c>
      <c r="AI69" s="133">
        <f t="shared" si="19"/>
        <v>0.24243136988181022</v>
      </c>
      <c r="AJ69" s="132">
        <f t="shared" si="20"/>
        <v>2.0666666666666664</v>
      </c>
      <c r="AK69" s="1">
        <f t="shared" si="21"/>
        <v>2.5590796956892308</v>
      </c>
      <c r="AL69" s="1">
        <f t="shared" si="38"/>
        <v>0.13097777777777772</v>
      </c>
      <c r="AM69" s="1">
        <f t="shared" si="45"/>
        <v>0.15427500000000002</v>
      </c>
      <c r="AN69" s="136">
        <f t="shared" si="39"/>
        <v>5.4599999999999996E-2</v>
      </c>
      <c r="AO69" s="133">
        <f t="shared" si="23"/>
        <v>0.33985277777777773</v>
      </c>
      <c r="AP69" s="132">
        <f t="shared" si="40"/>
        <v>6.4342833333333307E-2</v>
      </c>
      <c r="AQ69" s="137">
        <f t="shared" si="41"/>
        <v>0.16208499999999995</v>
      </c>
      <c r="AR69" s="137">
        <f t="shared" si="42"/>
        <v>4.147588250013759E-2</v>
      </c>
      <c r="AS69" s="1">
        <f t="shared" si="43"/>
        <v>5.9279999999999999E-2</v>
      </c>
      <c r="AT69" s="133">
        <f t="shared" si="44"/>
        <v>4.8000000000000001E-2</v>
      </c>
      <c r="AU69" s="132">
        <f t="shared" si="25"/>
        <v>1.1195528634930587</v>
      </c>
      <c r="AV69" s="1">
        <f t="shared" si="26"/>
        <v>37.199999999999996</v>
      </c>
      <c r="AW69" s="133">
        <f t="shared" si="27"/>
        <v>97.078377016868458</v>
      </c>
    </row>
    <row r="70" spans="17:49" x14ac:dyDescent="0.25">
      <c r="Q70">
        <v>63</v>
      </c>
      <c r="R70" s="132">
        <f t="shared" si="0"/>
        <v>18</v>
      </c>
      <c r="S70" s="1">
        <f t="shared" si="1"/>
        <v>2.1</v>
      </c>
      <c r="T70" s="1">
        <f t="shared" si="30"/>
        <v>12</v>
      </c>
      <c r="U70" s="133">
        <f t="shared" si="31"/>
        <v>3.1500000000000004</v>
      </c>
      <c r="V70" s="132">
        <f>IF(Calculations!$B$17=3,2,IF((S70*R70/T70)&lt;((T70*(1-(T70/R70)))/(2*Lm*fsw)),1,2))</f>
        <v>2</v>
      </c>
      <c r="W70" s="1">
        <f t="shared" si="32"/>
        <v>0.33333333333333337</v>
      </c>
      <c r="X70" s="133">
        <f t="shared" si="33"/>
        <v>0.66666666666666663</v>
      </c>
      <c r="Y70" s="132">
        <f t="shared" si="34"/>
        <v>1.6</v>
      </c>
      <c r="Z70" s="1">
        <f t="shared" si="13"/>
        <v>3.95</v>
      </c>
      <c r="AA70" s="1">
        <f t="shared" si="14"/>
        <v>3.1836823543395996</v>
      </c>
      <c r="AB70" s="1">
        <v>0</v>
      </c>
      <c r="AC70" s="1">
        <f t="shared" si="35"/>
        <v>0.16724125000000006</v>
      </c>
      <c r="AD70" s="133">
        <f t="shared" si="16"/>
        <v>0.16724125000000006</v>
      </c>
      <c r="AE70" s="132">
        <f t="shared" si="28"/>
        <v>1.0500000000000003</v>
      </c>
      <c r="AF70" s="1">
        <f t="shared" si="17"/>
        <v>1.8380998642922293</v>
      </c>
      <c r="AG70" s="1">
        <f t="shared" si="36"/>
        <v>6.7572222222222242E-2</v>
      </c>
      <c r="AH70" s="1">
        <f t="shared" si="37"/>
        <v>0.17979639197667815</v>
      </c>
      <c r="AI70" s="133">
        <f t="shared" si="19"/>
        <v>0.24736861419890038</v>
      </c>
      <c r="AJ70" s="132">
        <f t="shared" si="20"/>
        <v>2.1</v>
      </c>
      <c r="AK70" s="1">
        <f t="shared" si="21"/>
        <v>2.599465757078216</v>
      </c>
      <c r="AL70" s="1">
        <f t="shared" si="38"/>
        <v>0.13514444444444446</v>
      </c>
      <c r="AM70" s="1">
        <f t="shared" si="45"/>
        <v>0.15427500000000002</v>
      </c>
      <c r="AN70" s="136">
        <f t="shared" si="39"/>
        <v>5.5300000000000002E-2</v>
      </c>
      <c r="AO70" s="133">
        <f t="shared" si="23"/>
        <v>0.34471944444444447</v>
      </c>
      <c r="AP70" s="132">
        <f t="shared" si="40"/>
        <v>6.6389708333333339E-2</v>
      </c>
      <c r="AQ70" s="137">
        <f t="shared" si="41"/>
        <v>0.16724125000000006</v>
      </c>
      <c r="AR70" s="137">
        <f t="shared" si="42"/>
        <v>4.147588250013759E-2</v>
      </c>
      <c r="AS70" s="1">
        <f t="shared" si="43"/>
        <v>5.9279999999999999E-2</v>
      </c>
      <c r="AT70" s="133">
        <f t="shared" si="44"/>
        <v>4.8000000000000001E-2</v>
      </c>
      <c r="AU70" s="132">
        <f t="shared" si="25"/>
        <v>1.1417161494768158</v>
      </c>
      <c r="AV70" s="1">
        <f t="shared" si="26"/>
        <v>37.800000000000004</v>
      </c>
      <c r="AW70" s="133">
        <f t="shared" si="27"/>
        <v>97.068141154605598</v>
      </c>
    </row>
    <row r="71" spans="17:49" x14ac:dyDescent="0.25">
      <c r="Q71">
        <v>64</v>
      </c>
      <c r="R71" s="132">
        <f t="shared" ref="R71:R134" si="46">VOUT</f>
        <v>18</v>
      </c>
      <c r="S71" s="1">
        <f t="shared" ref="S71:S134" si="47">Q71*$O$12</f>
        <v>2.1333333333333333</v>
      </c>
      <c r="T71" s="1">
        <f t="shared" ref="T71:T102" si="48">Vin_vari</f>
        <v>12</v>
      </c>
      <c r="U71" s="133">
        <f t="shared" ref="U71:U102" si="49">(R71*S71)/(T71*EFF_est)</f>
        <v>3.1999999999999997</v>
      </c>
      <c r="V71" s="132">
        <f>IF(Calculations!$B$17=3,2,IF((S71*R71/T71)&lt;((T71*(1-(T71/R71)))/(2*Lm*fsw)),1,2))</f>
        <v>2</v>
      </c>
      <c r="W71" s="1">
        <f t="shared" ref="W71:W102" si="50">CHOOSE(V71,SQRT((2*S71*Lm*fsw*(R71-T71))/((T71)^2)),1-(T71/R71))</f>
        <v>0.33333333333333337</v>
      </c>
      <c r="X71" s="133">
        <f t="shared" ref="X71:X102" si="51">CHOOSE(V71,(Lm*Z71*fsw)/(R71-T71),1-W71)</f>
        <v>0.66666666666666663</v>
      </c>
      <c r="Y71" s="132">
        <f t="shared" ref="Y71:Y102" si="52">(T71*W71)/(Lm*fsw)</f>
        <v>1.6</v>
      </c>
      <c r="Z71" s="1">
        <f t="shared" si="13"/>
        <v>4</v>
      </c>
      <c r="AA71" s="1">
        <f t="shared" si="14"/>
        <v>3.233161507461904</v>
      </c>
      <c r="AB71" s="1">
        <v>0</v>
      </c>
      <c r="AC71" s="1">
        <f t="shared" ref="AC71:AC102" si="53">(AA71^2)*Rdcr</f>
        <v>0.17247999999999997</v>
      </c>
      <c r="AD71" s="133">
        <f t="shared" si="16"/>
        <v>0.17247999999999997</v>
      </c>
      <c r="AE71" s="132">
        <f t="shared" si="28"/>
        <v>1.0666666666666667</v>
      </c>
      <c r="AF71" s="1">
        <f t="shared" si="17"/>
        <v>1.8666666666666667</v>
      </c>
      <c r="AG71" s="1">
        <f t="shared" ref="AG71:AG102" si="54">(AF71^2)*RDS_on</f>
        <v>6.9688888888888897E-2</v>
      </c>
      <c r="AH71" s="1">
        <f t="shared" ref="AH71:AH102" si="55">((R71*U71)/2)*fsw*(tr_sw+tf_sw)</f>
        <v>0.18265030296043491</v>
      </c>
      <c r="AI71" s="133">
        <f t="shared" si="19"/>
        <v>0.2523391918493238</v>
      </c>
      <c r="AJ71" s="132">
        <f t="shared" si="20"/>
        <v>2.1333333333333329</v>
      </c>
      <c r="AK71" s="1">
        <f t="shared" si="21"/>
        <v>2.6398653164297774</v>
      </c>
      <c r="AL71" s="1">
        <f t="shared" ref="AL71:AL102" si="56">(AK71^2)*RDS_on_HS</f>
        <v>0.13937777777777777</v>
      </c>
      <c r="AM71" s="1">
        <f t="shared" si="45"/>
        <v>0.15427500000000002</v>
      </c>
      <c r="AN71" s="136">
        <f t="shared" ref="AN71:AN102" si="57">Vd_rect*t_dead*fsw*Z71</f>
        <v>5.6000000000000001E-2</v>
      </c>
      <c r="AO71" s="133">
        <f t="shared" si="23"/>
        <v>0.34965277777777776</v>
      </c>
      <c r="AP71" s="132">
        <f t="shared" ref="AP71:AP102" si="58">(AA71^2)*Rcs</f>
        <v>6.8469333333333313E-2</v>
      </c>
      <c r="AQ71" s="137">
        <f t="shared" ref="AQ71:AQ102" si="59">Rdcr*AA71^2</f>
        <v>0.17247999999999997</v>
      </c>
      <c r="AR71" s="137">
        <f t="shared" ref="AR71:AR102" si="60">ABS(7.759*10^-3*fsw^0.9458*(0.00787*Y71)^2.304)</f>
        <v>4.147588250013759E-2</v>
      </c>
      <c r="AS71" s="1">
        <f t="shared" ref="AS71:AS102" si="61">(Qg_tot+Qg_tot_HS)*VCC*fsw</f>
        <v>5.9279999999999999E-2</v>
      </c>
      <c r="AT71" s="133">
        <f t="shared" ref="AT71:AT102" si="62">IQ*T71</f>
        <v>4.8000000000000001E-2</v>
      </c>
      <c r="AU71" s="132">
        <f t="shared" si="25"/>
        <v>1.1641771854605725</v>
      </c>
      <c r="AV71" s="1">
        <f t="shared" si="26"/>
        <v>38.4</v>
      </c>
      <c r="AW71" s="133">
        <f t="shared" si="27"/>
        <v>97.057496785530532</v>
      </c>
    </row>
    <row r="72" spans="17:49" x14ac:dyDescent="0.25">
      <c r="Q72">
        <v>65</v>
      </c>
      <c r="R72" s="132">
        <f t="shared" si="46"/>
        <v>18</v>
      </c>
      <c r="S72" s="1">
        <f t="shared" si="47"/>
        <v>2.1666666666666665</v>
      </c>
      <c r="T72" s="1">
        <f t="shared" si="48"/>
        <v>12</v>
      </c>
      <c r="U72" s="133">
        <f t="shared" si="49"/>
        <v>3.25</v>
      </c>
      <c r="V72" s="132">
        <f>IF(Calculations!$B$17=3,2,IF((S72*R72/T72)&lt;((T72*(1-(T72/R72)))/(2*Lm*fsw)),1,2))</f>
        <v>2</v>
      </c>
      <c r="W72" s="1">
        <f t="shared" si="50"/>
        <v>0.33333333333333337</v>
      </c>
      <c r="X72" s="133">
        <f t="shared" si="51"/>
        <v>0.66666666666666663</v>
      </c>
      <c r="Y72" s="132">
        <f t="shared" si="52"/>
        <v>1.6</v>
      </c>
      <c r="Z72" s="1">
        <f t="shared" ref="Z72:Z135" si="63">CHOOSE(V72,Y72,U72+(0.5*Y72))</f>
        <v>4.05</v>
      </c>
      <c r="AA72" s="1">
        <f t="shared" ref="AA72:AA135" si="64">CHOOSE(V72,Z72*SQRT((W72+X72)/3),SQRT((U72^2)+((Y72^2)/12)))</f>
        <v>3.2826564446090507</v>
      </c>
      <c r="AB72" s="1">
        <v>0</v>
      </c>
      <c r="AC72" s="1">
        <f t="shared" si="53"/>
        <v>0.17780124999999999</v>
      </c>
      <c r="AD72" s="133">
        <f t="shared" ref="AD72:AD135" si="65">AB72+AC72</f>
        <v>0.17780124999999999</v>
      </c>
      <c r="AE72" s="132">
        <f t="shared" si="28"/>
        <v>1.0833333333333335</v>
      </c>
      <c r="AF72" s="1">
        <f t="shared" ref="AF72:AF135" si="66">CHOOSE(V72,Z72*SQRT(W72/3),SQRT(W72*((Z72^2)+((Y72^2)/3)-(Z72*Y72))))</f>
        <v>1.8952425819520955</v>
      </c>
      <c r="AG72" s="1">
        <f t="shared" si="54"/>
        <v>7.183888888888891E-2</v>
      </c>
      <c r="AH72" s="1">
        <f t="shared" si="55"/>
        <v>0.18550421394419173</v>
      </c>
      <c r="AI72" s="133">
        <f t="shared" ref="AI72:AI135" si="67">AG72+AH72</f>
        <v>0.25734310283308065</v>
      </c>
      <c r="AJ72" s="132">
        <f t="shared" ref="AJ72:AJ135" si="68">X72*U72</f>
        <v>2.1666666666666665</v>
      </c>
      <c r="AK72" s="1">
        <f t="shared" ref="AK72:AK135" si="69">CHOOSE(V72,Z72*SQRT(X72/3),SQRT(X72*((Z72^2)+((Y72^2)/3)-(Y72*Z72))))</f>
        <v>2.6802777633836552</v>
      </c>
      <c r="AL72" s="1">
        <f t="shared" si="56"/>
        <v>0.14367777777777779</v>
      </c>
      <c r="AM72" s="1">
        <f t="shared" ref="AM72:AM103" si="70">CHOOSE(V72,(R72+Vd_rect)*Qrr*fsw,(R72+Vd_rect)*Qrr*fsw)</f>
        <v>0.15427500000000002</v>
      </c>
      <c r="AN72" s="136">
        <f t="shared" si="57"/>
        <v>5.67E-2</v>
      </c>
      <c r="AO72" s="133">
        <f t="shared" ref="AO72:AO135" si="71">AL72+AM72+AN72</f>
        <v>0.35465277777777782</v>
      </c>
      <c r="AP72" s="132">
        <f t="shared" si="58"/>
        <v>7.0581708333333326E-2</v>
      </c>
      <c r="AQ72" s="137">
        <f t="shared" si="59"/>
        <v>0.17780124999999999</v>
      </c>
      <c r="AR72" s="137">
        <f t="shared" si="60"/>
        <v>4.147588250013759E-2</v>
      </c>
      <c r="AS72" s="1">
        <f t="shared" si="61"/>
        <v>5.9279999999999999E-2</v>
      </c>
      <c r="AT72" s="133">
        <f t="shared" si="62"/>
        <v>4.8000000000000001E-2</v>
      </c>
      <c r="AU72" s="132">
        <f t="shared" ref="AU72:AU135" si="72">AP72+AO72+AI72+AD72+AS72+AT72+AQ72+AR72</f>
        <v>1.1869359714443295</v>
      </c>
      <c r="AV72" s="1">
        <f t="shared" ref="AV72:AV135" si="73">R72*S72</f>
        <v>39</v>
      </c>
      <c r="AW72" s="133">
        <f t="shared" ref="AW72:AW135" si="74">(AV72/(AV72+AU72))*100</f>
        <v>97.046463128495958</v>
      </c>
    </row>
    <row r="73" spans="17:49" x14ac:dyDescent="0.25">
      <c r="Q73">
        <v>66</v>
      </c>
      <c r="R73" s="132">
        <f t="shared" si="46"/>
        <v>18</v>
      </c>
      <c r="S73" s="1">
        <f t="shared" si="47"/>
        <v>2.2000000000000002</v>
      </c>
      <c r="T73" s="1">
        <f t="shared" si="48"/>
        <v>12</v>
      </c>
      <c r="U73" s="133">
        <f t="shared" si="49"/>
        <v>3.3000000000000003</v>
      </c>
      <c r="V73" s="132">
        <f>IF(Calculations!$B$17=3,2,IF((S73*R73/T73)&lt;((T73*(1-(T73/R73)))/(2*Lm*fsw)),1,2))</f>
        <v>2</v>
      </c>
      <c r="W73" s="1">
        <f t="shared" si="50"/>
        <v>0.33333333333333337</v>
      </c>
      <c r="X73" s="133">
        <f t="shared" si="51"/>
        <v>0.66666666666666663</v>
      </c>
      <c r="Y73" s="132">
        <f t="shared" si="52"/>
        <v>1.6</v>
      </c>
      <c r="Z73" s="1">
        <f t="shared" si="63"/>
        <v>4.1000000000000005</v>
      </c>
      <c r="AA73" s="1">
        <f t="shared" si="64"/>
        <v>3.3321664624285106</v>
      </c>
      <c r="AB73" s="1">
        <v>0</v>
      </c>
      <c r="AC73" s="1">
        <f t="shared" si="53"/>
        <v>0.18320500000000003</v>
      </c>
      <c r="AD73" s="133">
        <f t="shared" si="65"/>
        <v>0.18320500000000003</v>
      </c>
      <c r="AE73" s="132">
        <f t="shared" ref="AE73:AE136" si="75">U73*W73</f>
        <v>1.1000000000000003</v>
      </c>
      <c r="AF73" s="1">
        <f t="shared" si="66"/>
        <v>1.923827204067744</v>
      </c>
      <c r="AG73" s="1">
        <f t="shared" si="54"/>
        <v>7.4022222222222267E-2</v>
      </c>
      <c r="AH73" s="1">
        <f t="shared" si="55"/>
        <v>0.18835812492794857</v>
      </c>
      <c r="AI73" s="133">
        <f t="shared" si="67"/>
        <v>0.26238034715017083</v>
      </c>
      <c r="AJ73" s="132">
        <f t="shared" si="68"/>
        <v>2.2000000000000002</v>
      </c>
      <c r="AK73" s="1">
        <f t="shared" si="69"/>
        <v>2.7207025236549156</v>
      </c>
      <c r="AL73" s="1">
        <f t="shared" si="56"/>
        <v>0.14804444444444453</v>
      </c>
      <c r="AM73" s="1">
        <f t="shared" si="70"/>
        <v>0.15427500000000002</v>
      </c>
      <c r="AN73" s="136">
        <f t="shared" si="57"/>
        <v>5.7400000000000007E-2</v>
      </c>
      <c r="AO73" s="133">
        <f t="shared" si="71"/>
        <v>0.35971944444444459</v>
      </c>
      <c r="AP73" s="132">
        <f t="shared" si="58"/>
        <v>7.2726833333333338E-2</v>
      </c>
      <c r="AQ73" s="137">
        <f t="shared" si="59"/>
        <v>0.18320500000000003</v>
      </c>
      <c r="AR73" s="137">
        <f t="shared" si="60"/>
        <v>4.147588250013759E-2</v>
      </c>
      <c r="AS73" s="1">
        <f t="shared" si="61"/>
        <v>5.9279999999999999E-2</v>
      </c>
      <c r="AT73" s="133">
        <f t="shared" si="62"/>
        <v>4.8000000000000001E-2</v>
      </c>
      <c r="AU73" s="132">
        <f t="shared" si="72"/>
        <v>1.2099925074280864</v>
      </c>
      <c r="AV73" s="1">
        <f t="shared" si="73"/>
        <v>39.6</v>
      </c>
      <c r="AW73" s="133">
        <f t="shared" si="74"/>
        <v>97.035058246560951</v>
      </c>
    </row>
    <row r="74" spans="17:49" x14ac:dyDescent="0.25">
      <c r="Q74">
        <v>67</v>
      </c>
      <c r="R74" s="132">
        <f t="shared" si="46"/>
        <v>18</v>
      </c>
      <c r="S74" s="1">
        <f t="shared" si="47"/>
        <v>2.2333333333333334</v>
      </c>
      <c r="T74" s="1">
        <f t="shared" si="48"/>
        <v>12</v>
      </c>
      <c r="U74" s="133">
        <f t="shared" si="49"/>
        <v>3.35</v>
      </c>
      <c r="V74" s="132">
        <f>IF(Calculations!$B$17=3,2,IF((S74*R74/T74)&lt;((T74*(1-(T74/R74)))/(2*Lm*fsw)),1,2))</f>
        <v>2</v>
      </c>
      <c r="W74" s="1">
        <f t="shared" si="50"/>
        <v>0.33333333333333337</v>
      </c>
      <c r="X74" s="133">
        <f t="shared" si="51"/>
        <v>0.66666666666666663</v>
      </c>
      <c r="Y74" s="132">
        <f t="shared" si="52"/>
        <v>1.6</v>
      </c>
      <c r="Z74" s="1">
        <f t="shared" si="63"/>
        <v>4.1500000000000004</v>
      </c>
      <c r="AA74" s="1">
        <f t="shared" si="64"/>
        <v>3.3816908985496195</v>
      </c>
      <c r="AB74" s="1">
        <v>0</v>
      </c>
      <c r="AC74" s="1">
        <f t="shared" si="53"/>
        <v>0.18869125</v>
      </c>
      <c r="AD74" s="133">
        <f t="shared" si="65"/>
        <v>0.18869125</v>
      </c>
      <c r="AE74" s="132">
        <f t="shared" si="75"/>
        <v>1.1166666666666669</v>
      </c>
      <c r="AF74" s="1">
        <f t="shared" si="66"/>
        <v>1.9524201505937304</v>
      </c>
      <c r="AG74" s="1">
        <f t="shared" si="54"/>
        <v>7.6238888888888898E-2</v>
      </c>
      <c r="AH74" s="1">
        <f t="shared" si="55"/>
        <v>0.19121203591170535</v>
      </c>
      <c r="AI74" s="133">
        <f t="shared" si="67"/>
        <v>0.26745092480059424</v>
      </c>
      <c r="AJ74" s="132">
        <f t="shared" si="68"/>
        <v>2.2333333333333334</v>
      </c>
      <c r="AK74" s="1">
        <f t="shared" si="69"/>
        <v>2.7611390564201743</v>
      </c>
      <c r="AL74" s="1">
        <f t="shared" si="56"/>
        <v>0.15247777777777782</v>
      </c>
      <c r="AM74" s="1">
        <f t="shared" si="70"/>
        <v>0.15427500000000002</v>
      </c>
      <c r="AN74" s="136">
        <f t="shared" si="57"/>
        <v>5.8100000000000006E-2</v>
      </c>
      <c r="AO74" s="133">
        <f t="shared" si="71"/>
        <v>0.36485277777777786</v>
      </c>
      <c r="AP74" s="132">
        <f t="shared" si="58"/>
        <v>7.490470833333332E-2</v>
      </c>
      <c r="AQ74" s="137">
        <f t="shared" si="59"/>
        <v>0.18869125</v>
      </c>
      <c r="AR74" s="137">
        <f t="shared" si="60"/>
        <v>4.147588250013759E-2</v>
      </c>
      <c r="AS74" s="1">
        <f t="shared" si="61"/>
        <v>5.9279999999999999E-2</v>
      </c>
      <c r="AT74" s="133">
        <f t="shared" si="62"/>
        <v>4.8000000000000001E-2</v>
      </c>
      <c r="AU74" s="132">
        <f t="shared" si="72"/>
        <v>1.2333467934118429</v>
      </c>
      <c r="AV74" s="1">
        <f t="shared" si="73"/>
        <v>40.200000000000003</v>
      </c>
      <c r="AW74" s="133">
        <f t="shared" si="74"/>
        <v>97.023299132552935</v>
      </c>
    </row>
    <row r="75" spans="17:49" x14ac:dyDescent="0.25">
      <c r="Q75">
        <v>68</v>
      </c>
      <c r="R75" s="132">
        <f t="shared" si="46"/>
        <v>18</v>
      </c>
      <c r="S75" s="1">
        <f t="shared" si="47"/>
        <v>2.2666666666666666</v>
      </c>
      <c r="T75" s="1">
        <f t="shared" si="48"/>
        <v>12</v>
      </c>
      <c r="U75" s="133">
        <f t="shared" si="49"/>
        <v>3.4</v>
      </c>
      <c r="V75" s="132">
        <f>IF(Calculations!$B$17=3,2,IF((S75*R75/T75)&lt;((T75*(1-(T75/R75)))/(2*Lm*fsw)),1,2))</f>
        <v>2</v>
      </c>
      <c r="W75" s="1">
        <f t="shared" si="50"/>
        <v>0.33333333333333337</v>
      </c>
      <c r="X75" s="133">
        <f t="shared" si="51"/>
        <v>0.66666666666666663</v>
      </c>
      <c r="Y75" s="132">
        <f t="shared" si="52"/>
        <v>1.6</v>
      </c>
      <c r="Z75" s="1">
        <f t="shared" si="63"/>
        <v>4.2</v>
      </c>
      <c r="AA75" s="1">
        <f t="shared" si="64"/>
        <v>3.4312291286554051</v>
      </c>
      <c r="AB75" s="1">
        <v>0</v>
      </c>
      <c r="AC75" s="1">
        <f t="shared" si="53"/>
        <v>0.19425999999999996</v>
      </c>
      <c r="AD75" s="133">
        <f t="shared" si="65"/>
        <v>0.19425999999999996</v>
      </c>
      <c r="AE75" s="132">
        <f t="shared" si="75"/>
        <v>1.1333333333333335</v>
      </c>
      <c r="AF75" s="1">
        <f t="shared" si="66"/>
        <v>1.9810210610804833</v>
      </c>
      <c r="AG75" s="1">
        <f t="shared" si="54"/>
        <v>7.8488888888888872E-2</v>
      </c>
      <c r="AH75" s="1">
        <f t="shared" si="55"/>
        <v>0.19406594689546211</v>
      </c>
      <c r="AI75" s="133">
        <f t="shared" si="67"/>
        <v>0.27255483578435097</v>
      </c>
      <c r="AJ75" s="132">
        <f t="shared" si="68"/>
        <v>2.2666666666666666</v>
      </c>
      <c r="AK75" s="1">
        <f t="shared" si="69"/>
        <v>2.8015868519267588</v>
      </c>
      <c r="AL75" s="1">
        <f t="shared" si="56"/>
        <v>0.15697777777777774</v>
      </c>
      <c r="AM75" s="1">
        <f t="shared" si="70"/>
        <v>0.15427500000000002</v>
      </c>
      <c r="AN75" s="136">
        <f t="shared" si="57"/>
        <v>5.8800000000000005E-2</v>
      </c>
      <c r="AO75" s="133">
        <f t="shared" si="71"/>
        <v>0.37005277777777779</v>
      </c>
      <c r="AP75" s="132">
        <f t="shared" si="58"/>
        <v>7.71153333333333E-2</v>
      </c>
      <c r="AQ75" s="137">
        <f t="shared" si="59"/>
        <v>0.19425999999999996</v>
      </c>
      <c r="AR75" s="137">
        <f t="shared" si="60"/>
        <v>4.147588250013759E-2</v>
      </c>
      <c r="AS75" s="1">
        <f t="shared" si="61"/>
        <v>5.9279999999999999E-2</v>
      </c>
      <c r="AT75" s="133">
        <f t="shared" si="62"/>
        <v>4.8000000000000001E-2</v>
      </c>
      <c r="AU75" s="132">
        <f t="shared" si="72"/>
        <v>1.2569988293955994</v>
      </c>
      <c r="AV75" s="1">
        <f t="shared" si="73"/>
        <v>40.799999999999997</v>
      </c>
      <c r="AW75" s="133">
        <f t="shared" si="74"/>
        <v>97.011201787139839</v>
      </c>
    </row>
    <row r="76" spans="17:49" x14ac:dyDescent="0.25">
      <c r="Q76">
        <v>69</v>
      </c>
      <c r="R76" s="132">
        <f t="shared" si="46"/>
        <v>18</v>
      </c>
      <c r="S76" s="1">
        <f t="shared" si="47"/>
        <v>2.2999999999999998</v>
      </c>
      <c r="T76" s="1">
        <f t="shared" si="48"/>
        <v>12</v>
      </c>
      <c r="U76" s="133">
        <f t="shared" si="49"/>
        <v>3.4499999999999997</v>
      </c>
      <c r="V76" s="132">
        <f>IF(Calculations!$B$17=3,2,IF((S76*R76/T76)&lt;((T76*(1-(T76/R76)))/(2*Lm*fsw)),1,2))</f>
        <v>2</v>
      </c>
      <c r="W76" s="1">
        <f t="shared" si="50"/>
        <v>0.33333333333333337</v>
      </c>
      <c r="X76" s="133">
        <f t="shared" si="51"/>
        <v>0.66666666666666663</v>
      </c>
      <c r="Y76" s="132">
        <f t="shared" si="52"/>
        <v>1.6</v>
      </c>
      <c r="Z76" s="1">
        <f t="shared" si="63"/>
        <v>4.25</v>
      </c>
      <c r="AA76" s="1">
        <f t="shared" si="64"/>
        <v>3.480780563800788</v>
      </c>
      <c r="AB76" s="1">
        <v>0</v>
      </c>
      <c r="AC76" s="1">
        <f t="shared" si="53"/>
        <v>0.19991124999999998</v>
      </c>
      <c r="AD76" s="133">
        <f t="shared" si="65"/>
        <v>0.19991124999999998</v>
      </c>
      <c r="AE76" s="132">
        <f t="shared" si="75"/>
        <v>1.1500000000000001</v>
      </c>
      <c r="AF76" s="1">
        <f t="shared" si="66"/>
        <v>2.0096295955004022</v>
      </c>
      <c r="AG76" s="1">
        <f t="shared" si="54"/>
        <v>8.0772222222222204E-2</v>
      </c>
      <c r="AH76" s="1">
        <f t="shared" si="55"/>
        <v>0.1969198578792189</v>
      </c>
      <c r="AI76" s="133">
        <f t="shared" si="67"/>
        <v>0.27769208010144109</v>
      </c>
      <c r="AJ76" s="132">
        <f t="shared" si="68"/>
        <v>2.2999999999999998</v>
      </c>
      <c r="AK76" s="1">
        <f t="shared" si="69"/>
        <v>2.8420454293030257</v>
      </c>
      <c r="AL76" s="1">
        <f t="shared" si="56"/>
        <v>0.16154444444444441</v>
      </c>
      <c r="AM76" s="1">
        <f t="shared" si="70"/>
        <v>0.15427500000000002</v>
      </c>
      <c r="AN76" s="136">
        <f t="shared" si="57"/>
        <v>5.9500000000000004E-2</v>
      </c>
      <c r="AO76" s="133">
        <f t="shared" si="71"/>
        <v>0.37531944444444443</v>
      </c>
      <c r="AP76" s="132">
        <f t="shared" si="58"/>
        <v>7.9358708333333305E-2</v>
      </c>
      <c r="AQ76" s="137">
        <f t="shared" si="59"/>
        <v>0.19991124999999998</v>
      </c>
      <c r="AR76" s="137">
        <f t="shared" si="60"/>
        <v>4.147588250013759E-2</v>
      </c>
      <c r="AS76" s="1">
        <f t="shared" si="61"/>
        <v>5.9279999999999999E-2</v>
      </c>
      <c r="AT76" s="133">
        <f t="shared" si="62"/>
        <v>4.8000000000000001E-2</v>
      </c>
      <c r="AU76" s="132">
        <f t="shared" si="72"/>
        <v>1.2809486153793563</v>
      </c>
      <c r="AV76" s="1">
        <f t="shared" si="73"/>
        <v>41.4</v>
      </c>
      <c r="AW76" s="133">
        <f t="shared" si="74"/>
        <v>96.998781290166107</v>
      </c>
    </row>
    <row r="77" spans="17:49" x14ac:dyDescent="0.25">
      <c r="Q77">
        <v>70</v>
      </c>
      <c r="R77" s="132">
        <f t="shared" si="46"/>
        <v>18</v>
      </c>
      <c r="S77" s="1">
        <f t="shared" si="47"/>
        <v>2.3333333333333335</v>
      </c>
      <c r="T77" s="1">
        <f t="shared" si="48"/>
        <v>12</v>
      </c>
      <c r="U77" s="133">
        <f t="shared" si="49"/>
        <v>3.5</v>
      </c>
      <c r="V77" s="132">
        <f>IF(Calculations!$B$17=3,2,IF((S77*R77/T77)&lt;((T77*(1-(T77/R77)))/(2*Lm*fsw)),1,2))</f>
        <v>2</v>
      </c>
      <c r="W77" s="1">
        <f t="shared" si="50"/>
        <v>0.33333333333333337</v>
      </c>
      <c r="X77" s="133">
        <f t="shared" si="51"/>
        <v>0.66666666666666663</v>
      </c>
      <c r="Y77" s="132">
        <f t="shared" si="52"/>
        <v>1.6</v>
      </c>
      <c r="Z77" s="1">
        <f t="shared" si="63"/>
        <v>4.3</v>
      </c>
      <c r="AA77" s="1">
        <f t="shared" si="64"/>
        <v>3.5303446479534166</v>
      </c>
      <c r="AB77" s="1">
        <v>0</v>
      </c>
      <c r="AC77" s="1">
        <f t="shared" si="53"/>
        <v>0.20564499999999999</v>
      </c>
      <c r="AD77" s="133">
        <f t="shared" si="65"/>
        <v>0.20564499999999999</v>
      </c>
      <c r="AE77" s="132">
        <f t="shared" si="75"/>
        <v>1.1666666666666667</v>
      </c>
      <c r="AF77" s="1">
        <f t="shared" si="66"/>
        <v>2.0382454328280599</v>
      </c>
      <c r="AG77" s="1">
        <f t="shared" si="54"/>
        <v>8.3088888888888907E-2</v>
      </c>
      <c r="AH77" s="1">
        <f t="shared" si="55"/>
        <v>0.19977376886297571</v>
      </c>
      <c r="AI77" s="133">
        <f t="shared" si="67"/>
        <v>0.28286265775186459</v>
      </c>
      <c r="AJ77" s="132">
        <f t="shared" si="68"/>
        <v>2.333333333333333</v>
      </c>
      <c r="AK77" s="1">
        <f t="shared" si="69"/>
        <v>2.8825143345504616</v>
      </c>
      <c r="AL77" s="1">
        <f t="shared" si="56"/>
        <v>0.16617777777777781</v>
      </c>
      <c r="AM77" s="1">
        <f t="shared" si="70"/>
        <v>0.15427500000000002</v>
      </c>
      <c r="AN77" s="136">
        <f t="shared" si="57"/>
        <v>6.0199999999999997E-2</v>
      </c>
      <c r="AO77" s="133">
        <f t="shared" si="71"/>
        <v>0.38065277777777778</v>
      </c>
      <c r="AP77" s="132">
        <f t="shared" si="58"/>
        <v>8.1634833333333323E-2</v>
      </c>
      <c r="AQ77" s="137">
        <f t="shared" si="59"/>
        <v>0.20564499999999999</v>
      </c>
      <c r="AR77" s="137">
        <f t="shared" si="60"/>
        <v>4.147588250013759E-2</v>
      </c>
      <c r="AS77" s="1">
        <f t="shared" si="61"/>
        <v>5.9279999999999999E-2</v>
      </c>
      <c r="AT77" s="133">
        <f t="shared" si="62"/>
        <v>4.8000000000000001E-2</v>
      </c>
      <c r="AU77" s="132">
        <f t="shared" si="72"/>
        <v>1.3051961513631132</v>
      </c>
      <c r="AV77" s="1">
        <f t="shared" si="73"/>
        <v>42</v>
      </c>
      <c r="AW77" s="133">
        <f t="shared" si="74"/>
        <v>96.98605186592134</v>
      </c>
    </row>
    <row r="78" spans="17:49" x14ac:dyDescent="0.25">
      <c r="Q78">
        <v>71</v>
      </c>
      <c r="R78" s="132">
        <f t="shared" si="46"/>
        <v>18</v>
      </c>
      <c r="S78" s="1">
        <f t="shared" si="47"/>
        <v>2.3666666666666667</v>
      </c>
      <c r="T78" s="1">
        <f t="shared" si="48"/>
        <v>12</v>
      </c>
      <c r="U78" s="133">
        <f t="shared" si="49"/>
        <v>3.5500000000000003</v>
      </c>
      <c r="V78" s="132">
        <f>IF(Calculations!$B$17=3,2,IF((S78*R78/T78)&lt;((T78*(1-(T78/R78)))/(2*Lm*fsw)),1,2))</f>
        <v>2</v>
      </c>
      <c r="W78" s="1">
        <f t="shared" si="50"/>
        <v>0.33333333333333337</v>
      </c>
      <c r="X78" s="133">
        <f t="shared" si="51"/>
        <v>0.66666666666666663</v>
      </c>
      <c r="Y78" s="132">
        <f t="shared" si="52"/>
        <v>1.6</v>
      </c>
      <c r="Z78" s="1">
        <f t="shared" si="63"/>
        <v>4.3500000000000005</v>
      </c>
      <c r="AA78" s="1">
        <f t="shared" si="64"/>
        <v>3.5799208557359665</v>
      </c>
      <c r="AB78" s="1">
        <v>0</v>
      </c>
      <c r="AC78" s="1">
        <f t="shared" si="53"/>
        <v>0.21146125000000005</v>
      </c>
      <c r="AD78" s="133">
        <f t="shared" si="65"/>
        <v>0.21146125000000005</v>
      </c>
      <c r="AE78" s="132">
        <f t="shared" si="75"/>
        <v>1.1833333333333336</v>
      </c>
      <c r="AF78" s="1">
        <f t="shared" si="66"/>
        <v>2.066868269736716</v>
      </c>
      <c r="AG78" s="1">
        <f t="shared" si="54"/>
        <v>8.5438888888888925E-2</v>
      </c>
      <c r="AH78" s="1">
        <f t="shared" si="55"/>
        <v>0.20262767984673255</v>
      </c>
      <c r="AI78" s="133">
        <f t="shared" si="67"/>
        <v>0.28806656873562148</v>
      </c>
      <c r="AJ78" s="132">
        <f t="shared" si="68"/>
        <v>2.3666666666666667</v>
      </c>
      <c r="AK78" s="1">
        <f t="shared" si="69"/>
        <v>2.9229931387002761</v>
      </c>
      <c r="AL78" s="1">
        <f t="shared" si="56"/>
        <v>0.17087777777777785</v>
      </c>
      <c r="AM78" s="1">
        <f t="shared" si="70"/>
        <v>0.15427500000000002</v>
      </c>
      <c r="AN78" s="136">
        <f t="shared" si="57"/>
        <v>6.090000000000001E-2</v>
      </c>
      <c r="AO78" s="133">
        <f t="shared" si="71"/>
        <v>0.38605277777777786</v>
      </c>
      <c r="AP78" s="132">
        <f t="shared" si="58"/>
        <v>8.3943708333333339E-2</v>
      </c>
      <c r="AQ78" s="137">
        <f t="shared" si="59"/>
        <v>0.21146125000000005</v>
      </c>
      <c r="AR78" s="137">
        <f t="shared" si="60"/>
        <v>4.147588250013759E-2</v>
      </c>
      <c r="AS78" s="1">
        <f t="shared" si="61"/>
        <v>5.9279999999999999E-2</v>
      </c>
      <c r="AT78" s="133">
        <f t="shared" si="62"/>
        <v>4.8000000000000001E-2</v>
      </c>
      <c r="AU78" s="132">
        <f t="shared" si="72"/>
        <v>1.3297414373468706</v>
      </c>
      <c r="AV78" s="1">
        <f t="shared" si="73"/>
        <v>42.6</v>
      </c>
      <c r="AW78" s="133">
        <f t="shared" si="74"/>
        <v>96.973026942934865</v>
      </c>
    </row>
    <row r="79" spans="17:49" x14ac:dyDescent="0.25">
      <c r="Q79">
        <v>72</v>
      </c>
      <c r="R79" s="132">
        <f t="shared" si="46"/>
        <v>18</v>
      </c>
      <c r="S79" s="1">
        <f t="shared" si="47"/>
        <v>2.4</v>
      </c>
      <c r="T79" s="1">
        <f t="shared" si="48"/>
        <v>12</v>
      </c>
      <c r="U79" s="133">
        <f t="shared" si="49"/>
        <v>3.5999999999999996</v>
      </c>
      <c r="V79" s="132">
        <f>IF(Calculations!$B$17=3,2,IF((S79*R79/T79)&lt;((T79*(1-(T79/R79)))/(2*Lm*fsw)),1,2))</f>
        <v>2</v>
      </c>
      <c r="W79" s="1">
        <f t="shared" si="50"/>
        <v>0.33333333333333337</v>
      </c>
      <c r="X79" s="133">
        <f t="shared" si="51"/>
        <v>0.66666666666666663</v>
      </c>
      <c r="Y79" s="132">
        <f t="shared" si="52"/>
        <v>1.6</v>
      </c>
      <c r="Z79" s="1">
        <f t="shared" si="63"/>
        <v>4.3999999999999995</v>
      </c>
      <c r="AA79" s="1">
        <f t="shared" si="64"/>
        <v>3.6295086903509861</v>
      </c>
      <c r="AB79" s="1">
        <v>0</v>
      </c>
      <c r="AC79" s="1">
        <f t="shared" si="53"/>
        <v>0.21735999999999997</v>
      </c>
      <c r="AD79" s="133">
        <f t="shared" si="65"/>
        <v>0.21735999999999997</v>
      </c>
      <c r="AE79" s="132">
        <f t="shared" si="75"/>
        <v>1.2</v>
      </c>
      <c r="AF79" s="1">
        <f t="shared" si="66"/>
        <v>2.0954978194002281</v>
      </c>
      <c r="AG79" s="1">
        <f t="shared" si="54"/>
        <v>8.7822222222222218E-2</v>
      </c>
      <c r="AH79" s="1">
        <f t="shared" si="55"/>
        <v>0.20548159083048931</v>
      </c>
      <c r="AI79" s="133">
        <f t="shared" si="67"/>
        <v>0.29330381305271153</v>
      </c>
      <c r="AJ79" s="132">
        <f t="shared" si="68"/>
        <v>2.3999999999999995</v>
      </c>
      <c r="AK79" s="1">
        <f t="shared" si="69"/>
        <v>2.9634814361190487</v>
      </c>
      <c r="AL79" s="1">
        <f t="shared" si="56"/>
        <v>0.17564444444444438</v>
      </c>
      <c r="AM79" s="1">
        <f t="shared" si="70"/>
        <v>0.15427500000000002</v>
      </c>
      <c r="AN79" s="136">
        <f t="shared" si="57"/>
        <v>6.1599999999999995E-2</v>
      </c>
      <c r="AO79" s="133">
        <f t="shared" si="71"/>
        <v>0.39151944444444442</v>
      </c>
      <c r="AP79" s="132">
        <f t="shared" si="58"/>
        <v>8.6285333333333311E-2</v>
      </c>
      <c r="AQ79" s="137">
        <f t="shared" si="59"/>
        <v>0.21735999999999997</v>
      </c>
      <c r="AR79" s="137">
        <f t="shared" si="60"/>
        <v>4.147588250013759E-2</v>
      </c>
      <c r="AS79" s="1">
        <f t="shared" si="61"/>
        <v>5.9279999999999999E-2</v>
      </c>
      <c r="AT79" s="133">
        <f t="shared" si="62"/>
        <v>4.8000000000000001E-2</v>
      </c>
      <c r="AU79" s="132">
        <f t="shared" si="72"/>
        <v>1.3545844733306269</v>
      </c>
      <c r="AV79" s="1">
        <f t="shared" si="73"/>
        <v>43.199999999999996</v>
      </c>
      <c r="AW79" s="133">
        <f t="shared" si="74"/>
        <v>96.959719208824751</v>
      </c>
    </row>
    <row r="80" spans="17:49" x14ac:dyDescent="0.25">
      <c r="Q80">
        <v>73</v>
      </c>
      <c r="R80" s="132">
        <f t="shared" si="46"/>
        <v>18</v>
      </c>
      <c r="S80" s="1">
        <f t="shared" si="47"/>
        <v>2.4333333333333331</v>
      </c>
      <c r="T80" s="1">
        <f t="shared" si="48"/>
        <v>12</v>
      </c>
      <c r="U80" s="133">
        <f t="shared" si="49"/>
        <v>3.65</v>
      </c>
      <c r="V80" s="132">
        <f>IF(Calculations!$B$17=3,2,IF((S80*R80/T80)&lt;((T80*(1-(T80/R80)))/(2*Lm*fsw)),1,2))</f>
        <v>2</v>
      </c>
      <c r="W80" s="1">
        <f t="shared" si="50"/>
        <v>0.33333333333333337</v>
      </c>
      <c r="X80" s="133">
        <f t="shared" si="51"/>
        <v>0.66666666666666663</v>
      </c>
      <c r="Y80" s="132">
        <f t="shared" si="52"/>
        <v>1.6</v>
      </c>
      <c r="Z80" s="1">
        <f t="shared" si="63"/>
        <v>4.45</v>
      </c>
      <c r="AA80" s="1">
        <f t="shared" si="64"/>
        <v>3.6791076816713768</v>
      </c>
      <c r="AB80" s="1">
        <v>0</v>
      </c>
      <c r="AC80" s="1">
        <f t="shared" si="53"/>
        <v>0.22334124999999999</v>
      </c>
      <c r="AD80" s="133">
        <f t="shared" si="65"/>
        <v>0.22334124999999999</v>
      </c>
      <c r="AE80" s="132">
        <f t="shared" si="75"/>
        <v>1.2166666666666668</v>
      </c>
      <c r="AF80" s="1">
        <f t="shared" si="66"/>
        <v>2.1241338103905893</v>
      </c>
      <c r="AG80" s="1">
        <f t="shared" si="54"/>
        <v>9.0238888888888896E-2</v>
      </c>
      <c r="AH80" s="1">
        <f t="shared" si="55"/>
        <v>0.20833550181424609</v>
      </c>
      <c r="AI80" s="133">
        <f t="shared" si="67"/>
        <v>0.29857439070313496</v>
      </c>
      <c r="AJ80" s="132">
        <f t="shared" si="68"/>
        <v>2.4333333333333331</v>
      </c>
      <c r="AK80" s="1">
        <f t="shared" si="69"/>
        <v>3.0039788429496115</v>
      </c>
      <c r="AL80" s="1">
        <f t="shared" si="56"/>
        <v>0.18047777777777774</v>
      </c>
      <c r="AM80" s="1">
        <f t="shared" si="70"/>
        <v>0.15427500000000002</v>
      </c>
      <c r="AN80" s="136">
        <f t="shared" si="57"/>
        <v>6.2300000000000001E-2</v>
      </c>
      <c r="AO80" s="133">
        <f t="shared" si="71"/>
        <v>0.39705277777777781</v>
      </c>
      <c r="AP80" s="132">
        <f t="shared" si="58"/>
        <v>8.8659708333333323E-2</v>
      </c>
      <c r="AQ80" s="137">
        <f t="shared" si="59"/>
        <v>0.22334124999999999</v>
      </c>
      <c r="AR80" s="137">
        <f t="shared" si="60"/>
        <v>4.147588250013759E-2</v>
      </c>
      <c r="AS80" s="1">
        <f t="shared" si="61"/>
        <v>5.9279999999999999E-2</v>
      </c>
      <c r="AT80" s="133">
        <f t="shared" si="62"/>
        <v>4.8000000000000001E-2</v>
      </c>
      <c r="AU80" s="132">
        <f t="shared" si="72"/>
        <v>1.3797252593143838</v>
      </c>
      <c r="AV80" s="1">
        <f t="shared" si="73"/>
        <v>43.8</v>
      </c>
      <c r="AW80" s="133">
        <f t="shared" si="74"/>
        <v>96.946140660671816</v>
      </c>
    </row>
    <row r="81" spans="17:49" x14ac:dyDescent="0.25">
      <c r="Q81">
        <v>74</v>
      </c>
      <c r="R81" s="132">
        <f t="shared" si="46"/>
        <v>18</v>
      </c>
      <c r="S81" s="1">
        <f t="shared" si="47"/>
        <v>2.4666666666666668</v>
      </c>
      <c r="T81" s="1">
        <f t="shared" si="48"/>
        <v>12</v>
      </c>
      <c r="U81" s="133">
        <f t="shared" si="49"/>
        <v>3.7000000000000006</v>
      </c>
      <c r="V81" s="132">
        <f>IF(Calculations!$B$17=3,2,IF((S81*R81/T81)&lt;((T81*(1-(T81/R81)))/(2*Lm*fsw)),1,2))</f>
        <v>2</v>
      </c>
      <c r="W81" s="1">
        <f t="shared" si="50"/>
        <v>0.33333333333333337</v>
      </c>
      <c r="X81" s="133">
        <f t="shared" si="51"/>
        <v>0.66666666666666663</v>
      </c>
      <c r="Y81" s="132">
        <f t="shared" si="52"/>
        <v>1.6</v>
      </c>
      <c r="Z81" s="1">
        <f t="shared" si="63"/>
        <v>4.5000000000000009</v>
      </c>
      <c r="AA81" s="1">
        <f t="shared" si="64"/>
        <v>3.7287173844813362</v>
      </c>
      <c r="AB81" s="1">
        <v>0</v>
      </c>
      <c r="AC81" s="1">
        <f t="shared" si="53"/>
        <v>0.22940500000000005</v>
      </c>
      <c r="AD81" s="133">
        <f t="shared" si="65"/>
        <v>0.22940500000000005</v>
      </c>
      <c r="AE81" s="132">
        <f t="shared" si="75"/>
        <v>1.2333333333333336</v>
      </c>
      <c r="AF81" s="1">
        <f t="shared" si="66"/>
        <v>2.1527759856623367</v>
      </c>
      <c r="AG81" s="1">
        <f t="shared" si="54"/>
        <v>9.2688888888888918E-2</v>
      </c>
      <c r="AH81" s="1">
        <f t="shared" si="55"/>
        <v>0.21118941279800293</v>
      </c>
      <c r="AI81" s="133">
        <f t="shared" si="67"/>
        <v>0.30387830168689184</v>
      </c>
      <c r="AJ81" s="132">
        <f t="shared" si="68"/>
        <v>2.4666666666666668</v>
      </c>
      <c r="AK81" s="1">
        <f t="shared" si="69"/>
        <v>3.0444849956747841</v>
      </c>
      <c r="AL81" s="1">
        <f t="shared" si="56"/>
        <v>0.18537777777777781</v>
      </c>
      <c r="AM81" s="1">
        <f t="shared" si="70"/>
        <v>0.15427500000000002</v>
      </c>
      <c r="AN81" s="136">
        <f t="shared" si="57"/>
        <v>6.3000000000000014E-2</v>
      </c>
      <c r="AO81" s="133">
        <f t="shared" si="71"/>
        <v>0.4026527777777778</v>
      </c>
      <c r="AP81" s="132">
        <f t="shared" si="58"/>
        <v>9.1066833333333347E-2</v>
      </c>
      <c r="AQ81" s="137">
        <f t="shared" si="59"/>
        <v>0.22940500000000005</v>
      </c>
      <c r="AR81" s="137">
        <f t="shared" si="60"/>
        <v>4.147588250013759E-2</v>
      </c>
      <c r="AS81" s="1">
        <f t="shared" si="61"/>
        <v>5.9279999999999999E-2</v>
      </c>
      <c r="AT81" s="133">
        <f t="shared" si="62"/>
        <v>4.8000000000000001E-2</v>
      </c>
      <c r="AU81" s="132">
        <f t="shared" si="72"/>
        <v>1.4051637952981408</v>
      </c>
      <c r="AV81" s="1">
        <f t="shared" si="73"/>
        <v>44.400000000000006</v>
      </c>
      <c r="AW81" s="133">
        <f t="shared" si="74"/>
        <v>96.9323026513391</v>
      </c>
    </row>
    <row r="82" spans="17:49" x14ac:dyDescent="0.25">
      <c r="Q82">
        <v>75</v>
      </c>
      <c r="R82" s="132">
        <f t="shared" si="46"/>
        <v>18</v>
      </c>
      <c r="S82" s="1">
        <f t="shared" si="47"/>
        <v>2.5</v>
      </c>
      <c r="T82" s="1">
        <f t="shared" si="48"/>
        <v>12</v>
      </c>
      <c r="U82" s="133">
        <f t="shared" si="49"/>
        <v>3.75</v>
      </c>
      <c r="V82" s="132">
        <f>IF(Calculations!$B$17=3,2,IF((S82*R82/T82)&lt;((T82*(1-(T82/R82)))/(2*Lm*fsw)),1,2))</f>
        <v>2</v>
      </c>
      <c r="W82" s="1">
        <f t="shared" si="50"/>
        <v>0.33333333333333337</v>
      </c>
      <c r="X82" s="133">
        <f t="shared" si="51"/>
        <v>0.66666666666666663</v>
      </c>
      <c r="Y82" s="132">
        <f t="shared" si="52"/>
        <v>1.6</v>
      </c>
      <c r="Z82" s="1">
        <f t="shared" si="63"/>
        <v>4.55</v>
      </c>
      <c r="AA82" s="1">
        <f t="shared" si="64"/>
        <v>3.7783373768541808</v>
      </c>
      <c r="AB82" s="1">
        <v>0</v>
      </c>
      <c r="AC82" s="1">
        <f t="shared" si="53"/>
        <v>0.23555124999999996</v>
      </c>
      <c r="AD82" s="133">
        <f t="shared" si="65"/>
        <v>0.23555124999999996</v>
      </c>
      <c r="AE82" s="132">
        <f t="shared" si="75"/>
        <v>1.2500000000000002</v>
      </c>
      <c r="AF82" s="1">
        <f t="shared" si="66"/>
        <v>2.1814241016159857</v>
      </c>
      <c r="AG82" s="1">
        <f t="shared" si="54"/>
        <v>9.51722222222222E-2</v>
      </c>
      <c r="AH82" s="1">
        <f t="shared" si="55"/>
        <v>0.21404332378175969</v>
      </c>
      <c r="AI82" s="133">
        <f t="shared" si="67"/>
        <v>0.30921554600398188</v>
      </c>
      <c r="AJ82" s="132">
        <f t="shared" si="68"/>
        <v>2.5</v>
      </c>
      <c r="AK82" s="1">
        <f t="shared" si="69"/>
        <v>3.0849995497928715</v>
      </c>
      <c r="AL82" s="1">
        <f t="shared" si="56"/>
        <v>0.1903444444444444</v>
      </c>
      <c r="AM82" s="1">
        <f t="shared" si="70"/>
        <v>0.15427500000000002</v>
      </c>
      <c r="AN82" s="136">
        <f t="shared" si="57"/>
        <v>6.3699999999999993E-2</v>
      </c>
      <c r="AO82" s="133">
        <f t="shared" si="71"/>
        <v>0.4083194444444444</v>
      </c>
      <c r="AP82" s="132">
        <f t="shared" si="58"/>
        <v>9.3506708333333313E-2</v>
      </c>
      <c r="AQ82" s="137">
        <f t="shared" si="59"/>
        <v>0.23555124999999996</v>
      </c>
      <c r="AR82" s="137">
        <f t="shared" si="60"/>
        <v>4.147588250013759E-2</v>
      </c>
      <c r="AS82" s="1">
        <f t="shared" si="61"/>
        <v>5.9279999999999999E-2</v>
      </c>
      <c r="AT82" s="133">
        <f t="shared" si="62"/>
        <v>4.8000000000000001E-2</v>
      </c>
      <c r="AU82" s="132">
        <f t="shared" si="72"/>
        <v>1.4309000812818971</v>
      </c>
      <c r="AV82" s="1">
        <f t="shared" si="73"/>
        <v>45</v>
      </c>
      <c r="AW82" s="133">
        <f t="shared" si="74"/>
        <v>96.918215932112091</v>
      </c>
    </row>
    <row r="83" spans="17:49" x14ac:dyDescent="0.25">
      <c r="Q83">
        <v>76</v>
      </c>
      <c r="R83" s="132">
        <f t="shared" si="46"/>
        <v>18</v>
      </c>
      <c r="S83" s="1">
        <f t="shared" si="47"/>
        <v>2.5333333333333332</v>
      </c>
      <c r="T83" s="1">
        <f t="shared" si="48"/>
        <v>12</v>
      </c>
      <c r="U83" s="133">
        <f t="shared" si="49"/>
        <v>3.7999999999999994</v>
      </c>
      <c r="V83" s="132">
        <f>IF(Calculations!$B$17=3,2,IF((S83*R83/T83)&lt;((T83*(1-(T83/R83)))/(2*Lm*fsw)),1,2))</f>
        <v>2</v>
      </c>
      <c r="W83" s="1">
        <f t="shared" si="50"/>
        <v>0.33333333333333337</v>
      </c>
      <c r="X83" s="133">
        <f t="shared" si="51"/>
        <v>0.66666666666666663</v>
      </c>
      <c r="Y83" s="132">
        <f t="shared" si="52"/>
        <v>1.6</v>
      </c>
      <c r="Z83" s="1">
        <f t="shared" si="63"/>
        <v>4.5999999999999996</v>
      </c>
      <c r="AA83" s="1">
        <f t="shared" si="64"/>
        <v>3.8279672586548239</v>
      </c>
      <c r="AB83" s="1">
        <v>0</v>
      </c>
      <c r="AC83" s="1">
        <f t="shared" si="53"/>
        <v>0.24177999999999991</v>
      </c>
      <c r="AD83" s="133">
        <f t="shared" si="65"/>
        <v>0.24177999999999991</v>
      </c>
      <c r="AE83" s="132">
        <f t="shared" si="75"/>
        <v>1.2666666666666666</v>
      </c>
      <c r="AF83" s="1">
        <f t="shared" si="66"/>
        <v>2.2100779272334368</v>
      </c>
      <c r="AG83" s="1">
        <f t="shared" si="54"/>
        <v>9.7688888888888881E-2</v>
      </c>
      <c r="AH83" s="1">
        <f t="shared" si="55"/>
        <v>0.21689723476551645</v>
      </c>
      <c r="AI83" s="133">
        <f t="shared" si="67"/>
        <v>0.3145861236544053</v>
      </c>
      <c r="AJ83" s="132">
        <f t="shared" si="68"/>
        <v>2.5333333333333328</v>
      </c>
      <c r="AK83" s="1">
        <f t="shared" si="69"/>
        <v>3.1255221785949439</v>
      </c>
      <c r="AL83" s="1">
        <f t="shared" si="56"/>
        <v>0.19537777777777771</v>
      </c>
      <c r="AM83" s="1">
        <f t="shared" si="70"/>
        <v>0.15427500000000002</v>
      </c>
      <c r="AN83" s="136">
        <f t="shared" si="57"/>
        <v>6.4399999999999999E-2</v>
      </c>
      <c r="AO83" s="133">
        <f t="shared" si="71"/>
        <v>0.41405277777777771</v>
      </c>
      <c r="AP83" s="132">
        <f t="shared" si="58"/>
        <v>9.5979333333333278E-2</v>
      </c>
      <c r="AQ83" s="137">
        <f t="shared" si="59"/>
        <v>0.24177999999999991</v>
      </c>
      <c r="AR83" s="137">
        <f t="shared" si="60"/>
        <v>4.147588250013759E-2</v>
      </c>
      <c r="AS83" s="1">
        <f t="shared" si="61"/>
        <v>5.9279999999999999E-2</v>
      </c>
      <c r="AT83" s="133">
        <f t="shared" si="62"/>
        <v>4.8000000000000001E-2</v>
      </c>
      <c r="AU83" s="132">
        <f t="shared" si="72"/>
        <v>1.4569341172656538</v>
      </c>
      <c r="AV83" s="1">
        <f t="shared" si="73"/>
        <v>45.599999999999994</v>
      </c>
      <c r="AW83" s="133">
        <f t="shared" si="74"/>
        <v>96.903890691996679</v>
      </c>
    </row>
    <row r="84" spans="17:49" x14ac:dyDescent="0.25">
      <c r="Q84">
        <v>77</v>
      </c>
      <c r="R84" s="132">
        <f t="shared" si="46"/>
        <v>18</v>
      </c>
      <c r="S84" s="1">
        <f t="shared" si="47"/>
        <v>2.5666666666666664</v>
      </c>
      <c r="T84" s="1">
        <f t="shared" si="48"/>
        <v>12</v>
      </c>
      <c r="U84" s="133">
        <f t="shared" si="49"/>
        <v>3.8499999999999996</v>
      </c>
      <c r="V84" s="132">
        <f>IF(Calculations!$B$17=3,2,IF((S84*R84/T84)&lt;((T84*(1-(T84/R84)))/(2*Lm*fsw)),1,2))</f>
        <v>2</v>
      </c>
      <c r="W84" s="1">
        <f t="shared" si="50"/>
        <v>0.33333333333333337</v>
      </c>
      <c r="X84" s="133">
        <f t="shared" si="51"/>
        <v>0.66666666666666663</v>
      </c>
      <c r="Y84" s="132">
        <f t="shared" si="52"/>
        <v>1.6</v>
      </c>
      <c r="Z84" s="1">
        <f t="shared" si="63"/>
        <v>4.6499999999999995</v>
      </c>
      <c r="AA84" s="1">
        <f t="shared" si="64"/>
        <v>3.8776066501559092</v>
      </c>
      <c r="AB84" s="1">
        <v>0</v>
      </c>
      <c r="AC84" s="1">
        <f t="shared" si="53"/>
        <v>0.24809124999999999</v>
      </c>
      <c r="AD84" s="133">
        <f t="shared" si="65"/>
        <v>0.24809124999999999</v>
      </c>
      <c r="AE84" s="132">
        <f t="shared" si="75"/>
        <v>1.2833333333333334</v>
      </c>
      <c r="AF84" s="1">
        <f t="shared" si="66"/>
        <v>2.2387372432789969</v>
      </c>
      <c r="AG84" s="1">
        <f t="shared" si="54"/>
        <v>0.10023888888888886</v>
      </c>
      <c r="AH84" s="1">
        <f t="shared" si="55"/>
        <v>0.21975114574927329</v>
      </c>
      <c r="AI84" s="133">
        <f t="shared" si="67"/>
        <v>0.31999003463816217</v>
      </c>
      <c r="AJ84" s="132">
        <f t="shared" si="68"/>
        <v>2.5666666666666664</v>
      </c>
      <c r="AK84" s="1">
        <f t="shared" si="69"/>
        <v>3.1660525720349124</v>
      </c>
      <c r="AL84" s="1">
        <f t="shared" si="56"/>
        <v>0.20047777777777767</v>
      </c>
      <c r="AM84" s="1">
        <f t="shared" si="70"/>
        <v>0.15427500000000002</v>
      </c>
      <c r="AN84" s="136">
        <f t="shared" si="57"/>
        <v>6.5099999999999991E-2</v>
      </c>
      <c r="AO84" s="133">
        <f t="shared" si="71"/>
        <v>0.41985277777777769</v>
      </c>
      <c r="AP84" s="132">
        <f t="shared" si="58"/>
        <v>9.848470833333331E-2</v>
      </c>
      <c r="AQ84" s="137">
        <f t="shared" si="59"/>
        <v>0.24809124999999999</v>
      </c>
      <c r="AR84" s="137">
        <f t="shared" si="60"/>
        <v>4.147588250013759E-2</v>
      </c>
      <c r="AS84" s="1">
        <f t="shared" si="61"/>
        <v>5.9279999999999999E-2</v>
      </c>
      <c r="AT84" s="133">
        <f t="shared" si="62"/>
        <v>4.8000000000000001E-2</v>
      </c>
      <c r="AU84" s="132">
        <f t="shared" si="72"/>
        <v>1.4832659032494107</v>
      </c>
      <c r="AV84" s="1">
        <f t="shared" si="73"/>
        <v>46.199999999999996</v>
      </c>
      <c r="AW84" s="133">
        <f t="shared" si="74"/>
        <v>96.889336593976182</v>
      </c>
    </row>
    <row r="85" spans="17:49" x14ac:dyDescent="0.25">
      <c r="Q85">
        <v>78</v>
      </c>
      <c r="R85" s="132">
        <f t="shared" si="46"/>
        <v>18</v>
      </c>
      <c r="S85" s="1">
        <f t="shared" si="47"/>
        <v>2.6</v>
      </c>
      <c r="T85" s="1">
        <f t="shared" si="48"/>
        <v>12</v>
      </c>
      <c r="U85" s="133">
        <f t="shared" si="49"/>
        <v>3.9000000000000004</v>
      </c>
      <c r="V85" s="132">
        <f>IF(Calculations!$B$17=3,2,IF((S85*R85/T85)&lt;((T85*(1-(T85/R85)))/(2*Lm*fsw)),1,2))</f>
        <v>2</v>
      </c>
      <c r="W85" s="1">
        <f t="shared" si="50"/>
        <v>0.33333333333333337</v>
      </c>
      <c r="X85" s="133">
        <f t="shared" si="51"/>
        <v>0.66666666666666663</v>
      </c>
      <c r="Y85" s="132">
        <f t="shared" si="52"/>
        <v>1.6</v>
      </c>
      <c r="Z85" s="1">
        <f t="shared" si="63"/>
        <v>4.7</v>
      </c>
      <c r="AA85" s="1">
        <f t="shared" si="64"/>
        <v>3.9272551907577049</v>
      </c>
      <c r="AB85" s="1">
        <v>0</v>
      </c>
      <c r="AC85" s="1">
        <f t="shared" si="53"/>
        <v>0.25448500000000007</v>
      </c>
      <c r="AD85" s="133">
        <f t="shared" si="65"/>
        <v>0.25448500000000007</v>
      </c>
      <c r="AE85" s="132">
        <f t="shared" si="75"/>
        <v>1.3000000000000003</v>
      </c>
      <c r="AF85" s="1">
        <f t="shared" si="66"/>
        <v>2.2674018415603161</v>
      </c>
      <c r="AG85" s="1">
        <f t="shared" si="54"/>
        <v>0.10282222222222226</v>
      </c>
      <c r="AH85" s="1">
        <f t="shared" si="55"/>
        <v>0.22260505673303008</v>
      </c>
      <c r="AI85" s="133">
        <f t="shared" si="67"/>
        <v>0.32542727895525236</v>
      </c>
      <c r="AJ85" s="132">
        <f t="shared" si="68"/>
        <v>2.6</v>
      </c>
      <c r="AK85" s="1">
        <f t="shared" si="69"/>
        <v>3.2065904356843302</v>
      </c>
      <c r="AL85" s="1">
        <f t="shared" si="56"/>
        <v>0.20564444444444444</v>
      </c>
      <c r="AM85" s="1">
        <f t="shared" si="70"/>
        <v>0.15427500000000002</v>
      </c>
      <c r="AN85" s="136">
        <f t="shared" si="57"/>
        <v>6.5799999999999997E-2</v>
      </c>
      <c r="AO85" s="133">
        <f t="shared" si="71"/>
        <v>0.42571944444444443</v>
      </c>
      <c r="AP85" s="132">
        <f t="shared" si="58"/>
        <v>0.10102283333333335</v>
      </c>
      <c r="AQ85" s="137">
        <f t="shared" si="59"/>
        <v>0.25448500000000007</v>
      </c>
      <c r="AR85" s="137">
        <f t="shared" si="60"/>
        <v>4.147588250013759E-2</v>
      </c>
      <c r="AS85" s="1">
        <f t="shared" si="61"/>
        <v>5.9279999999999999E-2</v>
      </c>
      <c r="AT85" s="133">
        <f t="shared" si="62"/>
        <v>4.8000000000000001E-2</v>
      </c>
      <c r="AU85" s="132">
        <f t="shared" si="72"/>
        <v>1.5098954392331678</v>
      </c>
      <c r="AV85" s="1">
        <f t="shared" si="73"/>
        <v>46.800000000000004</v>
      </c>
      <c r="AW85" s="133">
        <f t="shared" si="74"/>
        <v>96.874562808498737</v>
      </c>
    </row>
    <row r="86" spans="17:49" x14ac:dyDescent="0.25">
      <c r="Q86">
        <v>79</v>
      </c>
      <c r="R86" s="132">
        <f t="shared" si="46"/>
        <v>18</v>
      </c>
      <c r="S86" s="1">
        <f t="shared" si="47"/>
        <v>2.6333333333333333</v>
      </c>
      <c r="T86" s="1">
        <f t="shared" si="48"/>
        <v>12</v>
      </c>
      <c r="U86" s="133">
        <f t="shared" si="49"/>
        <v>3.9499999999999997</v>
      </c>
      <c r="V86" s="132">
        <f>IF(Calculations!$B$17=3,2,IF((S86*R86/T86)&lt;((T86*(1-(T86/R86)))/(2*Lm*fsw)),1,2))</f>
        <v>2</v>
      </c>
      <c r="W86" s="1">
        <f t="shared" si="50"/>
        <v>0.33333333333333337</v>
      </c>
      <c r="X86" s="133">
        <f t="shared" si="51"/>
        <v>0.66666666666666663</v>
      </c>
      <c r="Y86" s="132">
        <f t="shared" si="52"/>
        <v>1.6</v>
      </c>
      <c r="Z86" s="1">
        <f t="shared" si="63"/>
        <v>4.75</v>
      </c>
      <c r="AA86" s="1">
        <f t="shared" si="64"/>
        <v>3.9769125378028281</v>
      </c>
      <c r="AB86" s="1">
        <v>0</v>
      </c>
      <c r="AC86" s="1">
        <f t="shared" si="53"/>
        <v>0.26096124999999998</v>
      </c>
      <c r="AD86" s="133">
        <f t="shared" si="65"/>
        <v>0.26096124999999998</v>
      </c>
      <c r="AE86" s="132">
        <f t="shared" si="75"/>
        <v>1.3166666666666667</v>
      </c>
      <c r="AF86" s="1">
        <f t="shared" si="66"/>
        <v>2.2960715242440606</v>
      </c>
      <c r="AG86" s="1">
        <f t="shared" si="54"/>
        <v>0.10543888888888887</v>
      </c>
      <c r="AH86" s="1">
        <f t="shared" si="55"/>
        <v>0.22545896771678689</v>
      </c>
      <c r="AI86" s="133">
        <f t="shared" si="67"/>
        <v>0.33089785660567578</v>
      </c>
      <c r="AJ86" s="132">
        <f t="shared" si="68"/>
        <v>2.6333333333333329</v>
      </c>
      <c r="AK86" s="1">
        <f t="shared" si="69"/>
        <v>3.2471354897646152</v>
      </c>
      <c r="AL86" s="1">
        <f t="shared" si="56"/>
        <v>0.21087777777777775</v>
      </c>
      <c r="AM86" s="1">
        <f t="shared" si="70"/>
        <v>0.15427500000000002</v>
      </c>
      <c r="AN86" s="136">
        <f t="shared" si="57"/>
        <v>6.6500000000000004E-2</v>
      </c>
      <c r="AO86" s="133">
        <f t="shared" si="71"/>
        <v>0.43165277777777777</v>
      </c>
      <c r="AP86" s="132">
        <f t="shared" si="58"/>
        <v>0.1035937083333333</v>
      </c>
      <c r="AQ86" s="137">
        <f t="shared" si="59"/>
        <v>0.26096124999999998</v>
      </c>
      <c r="AR86" s="137">
        <f t="shared" si="60"/>
        <v>4.147588250013759E-2</v>
      </c>
      <c r="AS86" s="1">
        <f t="shared" si="61"/>
        <v>5.9279999999999999E-2</v>
      </c>
      <c r="AT86" s="133">
        <f t="shared" si="62"/>
        <v>4.8000000000000001E-2</v>
      </c>
      <c r="AU86" s="132">
        <f t="shared" si="72"/>
        <v>1.5368227252169244</v>
      </c>
      <c r="AV86" s="1">
        <f t="shared" si="73"/>
        <v>47.4</v>
      </c>
      <c r="AW86" s="133">
        <f t="shared" si="74"/>
        <v>96.859578044438493</v>
      </c>
    </row>
    <row r="87" spans="17:49" x14ac:dyDescent="0.25">
      <c r="Q87">
        <v>80</v>
      </c>
      <c r="R87" s="132">
        <f t="shared" si="46"/>
        <v>18</v>
      </c>
      <c r="S87" s="1">
        <f t="shared" si="47"/>
        <v>2.6666666666666665</v>
      </c>
      <c r="T87" s="1">
        <f t="shared" si="48"/>
        <v>12</v>
      </c>
      <c r="U87" s="133">
        <f t="shared" si="49"/>
        <v>4</v>
      </c>
      <c r="V87" s="132">
        <f>IF(Calculations!$B$17=3,2,IF((S87*R87/T87)&lt;((T87*(1-(T87/R87)))/(2*Lm*fsw)),1,2))</f>
        <v>2</v>
      </c>
      <c r="W87" s="1">
        <f t="shared" si="50"/>
        <v>0.33333333333333337</v>
      </c>
      <c r="X87" s="133">
        <f t="shared" si="51"/>
        <v>0.66666666666666663</v>
      </c>
      <c r="Y87" s="132">
        <f t="shared" si="52"/>
        <v>1.6</v>
      </c>
      <c r="Z87" s="1">
        <f t="shared" si="63"/>
        <v>4.8</v>
      </c>
      <c r="AA87" s="1">
        <f t="shared" si="64"/>
        <v>4.0265783654777332</v>
      </c>
      <c r="AB87" s="1">
        <v>0</v>
      </c>
      <c r="AC87" s="1">
        <f t="shared" si="53"/>
        <v>0.26752000000000004</v>
      </c>
      <c r="AD87" s="133">
        <f t="shared" si="65"/>
        <v>0.26752000000000004</v>
      </c>
      <c r="AE87" s="132">
        <f t="shared" si="75"/>
        <v>1.3333333333333335</v>
      </c>
      <c r="AF87" s="1">
        <f t="shared" si="66"/>
        <v>2.3247461032216927</v>
      </c>
      <c r="AG87" s="1">
        <f t="shared" si="54"/>
        <v>0.10808888888888891</v>
      </c>
      <c r="AH87" s="1">
        <f t="shared" si="55"/>
        <v>0.22831287870054368</v>
      </c>
      <c r="AI87" s="133">
        <f t="shared" si="67"/>
        <v>0.33640176758943258</v>
      </c>
      <c r="AJ87" s="132">
        <f t="shared" si="68"/>
        <v>2.6666666666666665</v>
      </c>
      <c r="AK87" s="1">
        <f t="shared" si="69"/>
        <v>3.2876874682501205</v>
      </c>
      <c r="AL87" s="1">
        <f t="shared" si="56"/>
        <v>0.21617777777777775</v>
      </c>
      <c r="AM87" s="1">
        <f t="shared" si="70"/>
        <v>0.15427500000000002</v>
      </c>
      <c r="AN87" s="136">
        <f t="shared" si="57"/>
        <v>6.7199999999999996E-2</v>
      </c>
      <c r="AO87" s="133">
        <f t="shared" si="71"/>
        <v>0.43765277777777772</v>
      </c>
      <c r="AP87" s="132">
        <f t="shared" si="58"/>
        <v>0.10619733333333334</v>
      </c>
      <c r="AQ87" s="137">
        <f t="shared" si="59"/>
        <v>0.26752000000000004</v>
      </c>
      <c r="AR87" s="137">
        <f t="shared" si="60"/>
        <v>4.147588250013759E-2</v>
      </c>
      <c r="AS87" s="1">
        <f t="shared" si="61"/>
        <v>5.9279999999999999E-2</v>
      </c>
      <c r="AT87" s="133">
        <f t="shared" si="62"/>
        <v>4.8000000000000001E-2</v>
      </c>
      <c r="AU87" s="132">
        <f t="shared" si="72"/>
        <v>1.5640477612006811</v>
      </c>
      <c r="AV87" s="1">
        <f t="shared" si="73"/>
        <v>48</v>
      </c>
      <c r="AW87" s="133">
        <f t="shared" si="74"/>
        <v>96.844390577750517</v>
      </c>
    </row>
    <row r="88" spans="17:49" x14ac:dyDescent="0.25">
      <c r="Q88">
        <v>81</v>
      </c>
      <c r="R88" s="132">
        <f t="shared" si="46"/>
        <v>18</v>
      </c>
      <c r="S88" s="1">
        <f t="shared" si="47"/>
        <v>2.7</v>
      </c>
      <c r="T88" s="1">
        <f t="shared" si="48"/>
        <v>12</v>
      </c>
      <c r="U88" s="133">
        <f t="shared" si="49"/>
        <v>4.05</v>
      </c>
      <c r="V88" s="132">
        <f>IF(Calculations!$B$17=3,2,IF((S88*R88/T88)&lt;((T88*(1-(T88/R88)))/(2*Lm*fsw)),1,2))</f>
        <v>2</v>
      </c>
      <c r="W88" s="1">
        <f t="shared" si="50"/>
        <v>0.33333333333333337</v>
      </c>
      <c r="X88" s="133">
        <f t="shared" si="51"/>
        <v>0.66666666666666663</v>
      </c>
      <c r="Y88" s="132">
        <f t="shared" si="52"/>
        <v>1.6</v>
      </c>
      <c r="Z88" s="1">
        <f t="shared" si="63"/>
        <v>4.8499999999999996</v>
      </c>
      <c r="AA88" s="1">
        <f t="shared" si="64"/>
        <v>4.0762523637936523</v>
      </c>
      <c r="AB88" s="1">
        <v>0</v>
      </c>
      <c r="AC88" s="1">
        <f t="shared" si="53"/>
        <v>0.27416125000000008</v>
      </c>
      <c r="AD88" s="133">
        <f t="shared" si="65"/>
        <v>0.27416125000000008</v>
      </c>
      <c r="AE88" s="132">
        <f t="shared" si="75"/>
        <v>1.35</v>
      </c>
      <c r="AF88" s="1">
        <f t="shared" si="66"/>
        <v>2.3534253995211132</v>
      </c>
      <c r="AG88" s="1">
        <f t="shared" si="54"/>
        <v>0.11077222222222222</v>
      </c>
      <c r="AH88" s="1">
        <f t="shared" si="55"/>
        <v>0.23116678968430043</v>
      </c>
      <c r="AI88" s="133">
        <f t="shared" si="67"/>
        <v>0.34193901190652265</v>
      </c>
      <c r="AJ88" s="132">
        <f t="shared" si="68"/>
        <v>2.6999999999999997</v>
      </c>
      <c r="AK88" s="1">
        <f t="shared" si="69"/>
        <v>3.3282461180360778</v>
      </c>
      <c r="AL88" s="1">
        <f t="shared" si="56"/>
        <v>0.22154444444444443</v>
      </c>
      <c r="AM88" s="1">
        <f t="shared" si="70"/>
        <v>0.15427500000000002</v>
      </c>
      <c r="AN88" s="136">
        <f t="shared" si="57"/>
        <v>6.7900000000000002E-2</v>
      </c>
      <c r="AO88" s="133">
        <f t="shared" si="71"/>
        <v>0.4437194444444445</v>
      </c>
      <c r="AP88" s="132">
        <f t="shared" si="58"/>
        <v>0.10883370833333335</v>
      </c>
      <c r="AQ88" s="137">
        <f t="shared" si="59"/>
        <v>0.27416125000000008</v>
      </c>
      <c r="AR88" s="137">
        <f t="shared" si="60"/>
        <v>4.147588250013759E-2</v>
      </c>
      <c r="AS88" s="1">
        <f t="shared" si="61"/>
        <v>5.9279999999999999E-2</v>
      </c>
      <c r="AT88" s="133">
        <f t="shared" si="62"/>
        <v>4.8000000000000001E-2</v>
      </c>
      <c r="AU88" s="132">
        <f t="shared" si="72"/>
        <v>1.5915705471844384</v>
      </c>
      <c r="AV88" s="1">
        <f t="shared" si="73"/>
        <v>48.6</v>
      </c>
      <c r="AW88" s="133">
        <f t="shared" si="74"/>
        <v>96.829008278017071</v>
      </c>
    </row>
    <row r="89" spans="17:49" x14ac:dyDescent="0.25">
      <c r="Q89">
        <v>82</v>
      </c>
      <c r="R89" s="132">
        <f t="shared" si="46"/>
        <v>18</v>
      </c>
      <c r="S89" s="1">
        <f t="shared" si="47"/>
        <v>2.7333333333333334</v>
      </c>
      <c r="T89" s="1">
        <f t="shared" si="48"/>
        <v>12</v>
      </c>
      <c r="U89" s="133">
        <f t="shared" si="49"/>
        <v>4.1000000000000005</v>
      </c>
      <c r="V89" s="132">
        <f>IF(Calculations!$B$17=3,2,IF((S89*R89/T89)&lt;((T89*(1-(T89/R89)))/(2*Lm*fsw)),1,2))</f>
        <v>2</v>
      </c>
      <c r="W89" s="1">
        <f t="shared" si="50"/>
        <v>0.33333333333333337</v>
      </c>
      <c r="X89" s="133">
        <f t="shared" si="51"/>
        <v>0.66666666666666663</v>
      </c>
      <c r="Y89" s="132">
        <f t="shared" si="52"/>
        <v>1.6</v>
      </c>
      <c r="Z89" s="1">
        <f t="shared" si="63"/>
        <v>4.9000000000000004</v>
      </c>
      <c r="AA89" s="1">
        <f t="shared" si="64"/>
        <v>4.1259342376404087</v>
      </c>
      <c r="AB89" s="1">
        <v>0</v>
      </c>
      <c r="AC89" s="1">
        <f t="shared" si="53"/>
        <v>0.28088500000000011</v>
      </c>
      <c r="AD89" s="133">
        <f t="shared" si="65"/>
        <v>0.28088500000000011</v>
      </c>
      <c r="AE89" s="132">
        <f t="shared" si="75"/>
        <v>1.3666666666666669</v>
      </c>
      <c r="AF89" s="1">
        <f t="shared" si="66"/>
        <v>2.3821092427603832</v>
      </c>
      <c r="AG89" s="1">
        <f t="shared" si="54"/>
        <v>0.11348888888888892</v>
      </c>
      <c r="AH89" s="1">
        <f t="shared" si="55"/>
        <v>0.2340207006680573</v>
      </c>
      <c r="AI89" s="133">
        <f t="shared" si="67"/>
        <v>0.34750958955694622</v>
      </c>
      <c r="AJ89" s="132">
        <f t="shared" si="68"/>
        <v>2.7333333333333334</v>
      </c>
      <c r="AK89" s="1">
        <f t="shared" si="69"/>
        <v>3.3688111981660369</v>
      </c>
      <c r="AL89" s="1">
        <f t="shared" si="56"/>
        <v>0.22697777777777778</v>
      </c>
      <c r="AM89" s="1">
        <f t="shared" si="70"/>
        <v>0.15427500000000002</v>
      </c>
      <c r="AN89" s="136">
        <f t="shared" si="57"/>
        <v>6.8600000000000008E-2</v>
      </c>
      <c r="AO89" s="133">
        <f t="shared" si="71"/>
        <v>0.44985277777777777</v>
      </c>
      <c r="AP89" s="132">
        <f t="shared" si="58"/>
        <v>0.11150283333333337</v>
      </c>
      <c r="AQ89" s="137">
        <f t="shared" si="59"/>
        <v>0.28088500000000011</v>
      </c>
      <c r="AR89" s="137">
        <f t="shared" si="60"/>
        <v>4.147588250013759E-2</v>
      </c>
      <c r="AS89" s="1">
        <f t="shared" si="61"/>
        <v>5.9279999999999999E-2</v>
      </c>
      <c r="AT89" s="133">
        <f t="shared" si="62"/>
        <v>4.8000000000000001E-2</v>
      </c>
      <c r="AU89" s="132">
        <f t="shared" si="72"/>
        <v>1.619391083168195</v>
      </c>
      <c r="AV89" s="1">
        <f t="shared" si="73"/>
        <v>49.2</v>
      </c>
      <c r="AW89" s="133">
        <f t="shared" si="74"/>
        <v>96.813438633064322</v>
      </c>
    </row>
    <row r="90" spans="17:49" x14ac:dyDescent="0.25">
      <c r="Q90">
        <v>83</v>
      </c>
      <c r="R90" s="132">
        <f t="shared" si="46"/>
        <v>18</v>
      </c>
      <c r="S90" s="1">
        <f t="shared" si="47"/>
        <v>2.7666666666666666</v>
      </c>
      <c r="T90" s="1">
        <f t="shared" si="48"/>
        <v>12</v>
      </c>
      <c r="U90" s="133">
        <f t="shared" si="49"/>
        <v>4.1499999999999995</v>
      </c>
      <c r="V90" s="132">
        <f>IF(Calculations!$B$17=3,2,IF((S90*R90/T90)&lt;((T90*(1-(T90/R90)))/(2*Lm*fsw)),1,2))</f>
        <v>2</v>
      </c>
      <c r="W90" s="1">
        <f t="shared" si="50"/>
        <v>0.33333333333333337</v>
      </c>
      <c r="X90" s="133">
        <f t="shared" si="51"/>
        <v>0.66666666666666663</v>
      </c>
      <c r="Y90" s="132">
        <f t="shared" si="52"/>
        <v>1.6</v>
      </c>
      <c r="Z90" s="1">
        <f t="shared" si="63"/>
        <v>4.9499999999999993</v>
      </c>
      <c r="AA90" s="1">
        <f t="shared" si="64"/>
        <v>4.1756237059070989</v>
      </c>
      <c r="AB90" s="1">
        <v>0</v>
      </c>
      <c r="AC90" s="1">
        <f t="shared" si="53"/>
        <v>0.28769125000000006</v>
      </c>
      <c r="AD90" s="133">
        <f t="shared" si="65"/>
        <v>0.28769125000000006</v>
      </c>
      <c r="AE90" s="132">
        <f t="shared" si="75"/>
        <v>1.3833333333333333</v>
      </c>
      <c r="AF90" s="1">
        <f t="shared" si="66"/>
        <v>2.4107974706400461</v>
      </c>
      <c r="AG90" s="1">
        <f t="shared" si="54"/>
        <v>0.11623888888888889</v>
      </c>
      <c r="AH90" s="1">
        <f t="shared" si="55"/>
        <v>0.236874611651814</v>
      </c>
      <c r="AI90" s="133">
        <f t="shared" si="67"/>
        <v>0.3531135005407029</v>
      </c>
      <c r="AJ90" s="132">
        <f t="shared" si="68"/>
        <v>2.7666666666666662</v>
      </c>
      <c r="AK90" s="1">
        <f t="shared" si="69"/>
        <v>3.4093824791139067</v>
      </c>
      <c r="AL90" s="1">
        <f t="shared" si="56"/>
        <v>0.23247777777777778</v>
      </c>
      <c r="AM90" s="1">
        <f t="shared" si="70"/>
        <v>0.15427500000000002</v>
      </c>
      <c r="AN90" s="136">
        <f t="shared" si="57"/>
        <v>6.9299999999999987E-2</v>
      </c>
      <c r="AO90" s="133">
        <f t="shared" si="71"/>
        <v>0.45605277777777781</v>
      </c>
      <c r="AP90" s="132">
        <f t="shared" si="58"/>
        <v>0.11420470833333334</v>
      </c>
      <c r="AQ90" s="137">
        <f t="shared" si="59"/>
        <v>0.28769125000000006</v>
      </c>
      <c r="AR90" s="137">
        <f t="shared" si="60"/>
        <v>4.147588250013759E-2</v>
      </c>
      <c r="AS90" s="1">
        <f t="shared" si="61"/>
        <v>5.9279999999999999E-2</v>
      </c>
      <c r="AT90" s="133">
        <f t="shared" si="62"/>
        <v>4.8000000000000001E-2</v>
      </c>
      <c r="AU90" s="132">
        <f t="shared" si="72"/>
        <v>1.647509369151952</v>
      </c>
      <c r="AV90" s="1">
        <f t="shared" si="73"/>
        <v>49.8</v>
      </c>
      <c r="AW90" s="133">
        <f t="shared" si="74"/>
        <v>96.797688771810968</v>
      </c>
    </row>
    <row r="91" spans="17:49" x14ac:dyDescent="0.25">
      <c r="Q91">
        <v>84</v>
      </c>
      <c r="R91" s="132">
        <f t="shared" si="46"/>
        <v>18</v>
      </c>
      <c r="S91" s="1">
        <f t="shared" si="47"/>
        <v>2.8</v>
      </c>
      <c r="T91" s="1">
        <f t="shared" si="48"/>
        <v>12</v>
      </c>
      <c r="U91" s="133">
        <f t="shared" si="49"/>
        <v>4.2</v>
      </c>
      <c r="V91" s="132">
        <f>IF(Calculations!$B$17=3,2,IF((S91*R91/T91)&lt;((T91*(1-(T91/R91)))/(2*Lm*fsw)),1,2))</f>
        <v>2</v>
      </c>
      <c r="W91" s="1">
        <f t="shared" si="50"/>
        <v>0.33333333333333337</v>
      </c>
      <c r="X91" s="133">
        <f t="shared" si="51"/>
        <v>0.66666666666666663</v>
      </c>
      <c r="Y91" s="132">
        <f t="shared" si="52"/>
        <v>1.6</v>
      </c>
      <c r="Z91" s="1">
        <f t="shared" si="63"/>
        <v>5</v>
      </c>
      <c r="AA91" s="1">
        <f t="shared" si="64"/>
        <v>4.2253205006642203</v>
      </c>
      <c r="AB91" s="1">
        <v>0</v>
      </c>
      <c r="AC91" s="1">
        <f t="shared" si="53"/>
        <v>0.29458000000000006</v>
      </c>
      <c r="AD91" s="133">
        <f t="shared" si="65"/>
        <v>0.29458000000000006</v>
      </c>
      <c r="AE91" s="132">
        <f t="shared" si="75"/>
        <v>1.4000000000000001</v>
      </c>
      <c r="AF91" s="1">
        <f t="shared" si="66"/>
        <v>2.4394899284709317</v>
      </c>
      <c r="AG91" s="1">
        <f t="shared" si="54"/>
        <v>0.11902222222222224</v>
      </c>
      <c r="AH91" s="1">
        <f t="shared" si="55"/>
        <v>0.2397285226355709</v>
      </c>
      <c r="AI91" s="133">
        <f t="shared" si="67"/>
        <v>0.35875074485779312</v>
      </c>
      <c r="AJ91" s="132">
        <f t="shared" si="68"/>
        <v>2.8</v>
      </c>
      <c r="AK91" s="1">
        <f t="shared" si="69"/>
        <v>3.449959742116163</v>
      </c>
      <c r="AL91" s="1">
        <f t="shared" si="56"/>
        <v>0.23804444444444442</v>
      </c>
      <c r="AM91" s="1">
        <f t="shared" si="70"/>
        <v>0.15427500000000002</v>
      </c>
      <c r="AN91" s="136">
        <f t="shared" si="57"/>
        <v>7.0000000000000007E-2</v>
      </c>
      <c r="AO91" s="133">
        <f t="shared" si="71"/>
        <v>0.46231944444444445</v>
      </c>
      <c r="AP91" s="132">
        <f t="shared" si="58"/>
        <v>0.11693933333333334</v>
      </c>
      <c r="AQ91" s="137">
        <f t="shared" si="59"/>
        <v>0.29458000000000006</v>
      </c>
      <c r="AR91" s="137">
        <f t="shared" si="60"/>
        <v>4.147588250013759E-2</v>
      </c>
      <c r="AS91" s="1">
        <f t="shared" si="61"/>
        <v>5.9279999999999999E-2</v>
      </c>
      <c r="AT91" s="133">
        <f t="shared" si="62"/>
        <v>4.8000000000000001E-2</v>
      </c>
      <c r="AU91" s="132">
        <f t="shared" si="72"/>
        <v>1.6759254051357086</v>
      </c>
      <c r="AV91" s="1">
        <f t="shared" si="73"/>
        <v>50.4</v>
      </c>
      <c r="AW91" s="133">
        <f t="shared" si="74"/>
        <v>96.78176548549547</v>
      </c>
    </row>
    <row r="92" spans="17:49" x14ac:dyDescent="0.25">
      <c r="Q92">
        <v>85</v>
      </c>
      <c r="R92" s="132">
        <f t="shared" si="46"/>
        <v>18</v>
      </c>
      <c r="S92" s="1">
        <f t="shared" si="47"/>
        <v>2.8333333333333335</v>
      </c>
      <c r="T92" s="1">
        <f t="shared" si="48"/>
        <v>12</v>
      </c>
      <c r="U92" s="133">
        <f t="shared" si="49"/>
        <v>4.25</v>
      </c>
      <c r="V92" s="132">
        <f>IF(Calculations!$B$17=3,2,IF((S92*R92/T92)&lt;((T92*(1-(T92/R92)))/(2*Lm*fsw)),1,2))</f>
        <v>2</v>
      </c>
      <c r="W92" s="1">
        <f t="shared" si="50"/>
        <v>0.33333333333333337</v>
      </c>
      <c r="X92" s="133">
        <f t="shared" si="51"/>
        <v>0.66666666666666663</v>
      </c>
      <c r="Y92" s="132">
        <f t="shared" si="52"/>
        <v>1.6</v>
      </c>
      <c r="Z92" s="1">
        <f t="shared" si="63"/>
        <v>5.05</v>
      </c>
      <c r="AA92" s="1">
        <f t="shared" si="64"/>
        <v>4.2750243664022936</v>
      </c>
      <c r="AB92" s="1">
        <v>0</v>
      </c>
      <c r="AC92" s="1">
        <f t="shared" si="53"/>
        <v>0.30155124999999999</v>
      </c>
      <c r="AD92" s="133">
        <f t="shared" si="65"/>
        <v>0.30155124999999999</v>
      </c>
      <c r="AE92" s="132">
        <f t="shared" si="75"/>
        <v>1.4166666666666667</v>
      </c>
      <c r="AF92" s="1">
        <f t="shared" si="66"/>
        <v>2.4681864687345736</v>
      </c>
      <c r="AG92" s="1">
        <f t="shared" si="54"/>
        <v>0.1218388888888889</v>
      </c>
      <c r="AH92" s="1">
        <f t="shared" si="55"/>
        <v>0.24258243361932766</v>
      </c>
      <c r="AI92" s="133">
        <f t="shared" si="67"/>
        <v>0.36442132250821657</v>
      </c>
      <c r="AJ92" s="132">
        <f t="shared" si="68"/>
        <v>2.833333333333333</v>
      </c>
      <c r="AK92" s="1">
        <f t="shared" si="69"/>
        <v>3.490542778550191</v>
      </c>
      <c r="AL92" s="1">
        <f t="shared" si="56"/>
        <v>0.24367777777777774</v>
      </c>
      <c r="AM92" s="1">
        <f t="shared" si="70"/>
        <v>0.15427500000000002</v>
      </c>
      <c r="AN92" s="136">
        <f t="shared" si="57"/>
        <v>7.0699999999999999E-2</v>
      </c>
      <c r="AO92" s="133">
        <f t="shared" si="71"/>
        <v>0.46865277777777775</v>
      </c>
      <c r="AP92" s="132">
        <f t="shared" si="58"/>
        <v>0.11970670833333331</v>
      </c>
      <c r="AQ92" s="137">
        <f t="shared" si="59"/>
        <v>0.30155124999999999</v>
      </c>
      <c r="AR92" s="137">
        <f t="shared" si="60"/>
        <v>4.147588250013759E-2</v>
      </c>
      <c r="AS92" s="1">
        <f t="shared" si="61"/>
        <v>5.9279999999999999E-2</v>
      </c>
      <c r="AT92" s="133">
        <f t="shared" si="62"/>
        <v>4.8000000000000001E-2</v>
      </c>
      <c r="AU92" s="132">
        <f t="shared" si="72"/>
        <v>1.7046391911194652</v>
      </c>
      <c r="AV92" s="1">
        <f t="shared" si="73"/>
        <v>51</v>
      </c>
      <c r="AW92" s="133">
        <f t="shared" si="74"/>
        <v>96.765675247414109</v>
      </c>
    </row>
    <row r="93" spans="17:49" x14ac:dyDescent="0.25">
      <c r="Q93">
        <v>86</v>
      </c>
      <c r="R93" s="132">
        <f t="shared" si="46"/>
        <v>18</v>
      </c>
      <c r="S93" s="1">
        <f t="shared" si="47"/>
        <v>2.8666666666666667</v>
      </c>
      <c r="T93" s="1">
        <f t="shared" si="48"/>
        <v>12</v>
      </c>
      <c r="U93" s="133">
        <f t="shared" si="49"/>
        <v>4.3</v>
      </c>
      <c r="V93" s="132">
        <f>IF(Calculations!$B$17=3,2,IF((S93*R93/T93)&lt;((T93*(1-(T93/R93)))/(2*Lm*fsw)),1,2))</f>
        <v>2</v>
      </c>
      <c r="W93" s="1">
        <f t="shared" si="50"/>
        <v>0.33333333333333337</v>
      </c>
      <c r="X93" s="133">
        <f t="shared" si="51"/>
        <v>0.66666666666666663</v>
      </c>
      <c r="Y93" s="132">
        <f t="shared" si="52"/>
        <v>1.6</v>
      </c>
      <c r="Z93" s="1">
        <f t="shared" si="63"/>
        <v>5.0999999999999996</v>
      </c>
      <c r="AA93" s="1">
        <f t="shared" si="64"/>
        <v>4.3247350593225171</v>
      </c>
      <c r="AB93" s="1">
        <v>0</v>
      </c>
      <c r="AC93" s="1">
        <f t="shared" si="53"/>
        <v>0.30860500000000007</v>
      </c>
      <c r="AD93" s="133">
        <f t="shared" si="65"/>
        <v>0.30860500000000007</v>
      </c>
      <c r="AE93" s="132">
        <f t="shared" si="75"/>
        <v>1.4333333333333333</v>
      </c>
      <c r="AF93" s="1">
        <f t="shared" si="66"/>
        <v>2.4968869506736673</v>
      </c>
      <c r="AG93" s="1">
        <f t="shared" si="54"/>
        <v>0.12468888888888889</v>
      </c>
      <c r="AH93" s="1">
        <f t="shared" si="55"/>
        <v>0.24543634460308442</v>
      </c>
      <c r="AI93" s="133">
        <f t="shared" si="67"/>
        <v>0.37012523349197329</v>
      </c>
      <c r="AJ93" s="132">
        <f t="shared" si="68"/>
        <v>2.8666666666666663</v>
      </c>
      <c r="AK93" s="1">
        <f t="shared" si="69"/>
        <v>3.5311313893551008</v>
      </c>
      <c r="AL93" s="1">
        <f t="shared" si="56"/>
        <v>0.2493777777777777</v>
      </c>
      <c r="AM93" s="1">
        <f t="shared" si="70"/>
        <v>0.15427500000000002</v>
      </c>
      <c r="AN93" s="136">
        <f t="shared" si="57"/>
        <v>7.1399999999999991E-2</v>
      </c>
      <c r="AO93" s="133">
        <f t="shared" si="71"/>
        <v>0.47505277777777777</v>
      </c>
      <c r="AP93" s="132">
        <f t="shared" si="58"/>
        <v>0.12250683333333334</v>
      </c>
      <c r="AQ93" s="137">
        <f t="shared" si="59"/>
        <v>0.30860500000000007</v>
      </c>
      <c r="AR93" s="137">
        <f t="shared" si="60"/>
        <v>4.147588250013759E-2</v>
      </c>
      <c r="AS93" s="1">
        <f t="shared" si="61"/>
        <v>5.9279999999999999E-2</v>
      </c>
      <c r="AT93" s="133">
        <f t="shared" si="62"/>
        <v>4.8000000000000001E-2</v>
      </c>
      <c r="AU93" s="132">
        <f t="shared" si="72"/>
        <v>1.733650727103222</v>
      </c>
      <c r="AV93" s="1">
        <f t="shared" si="73"/>
        <v>51.6</v>
      </c>
      <c r="AW93" s="133">
        <f t="shared" si="74"/>
        <v>96.749424231290789</v>
      </c>
    </row>
    <row r="94" spans="17:49" x14ac:dyDescent="0.25">
      <c r="Q94">
        <v>87</v>
      </c>
      <c r="R94" s="132">
        <f t="shared" si="46"/>
        <v>18</v>
      </c>
      <c r="S94" s="1">
        <f t="shared" si="47"/>
        <v>2.9</v>
      </c>
      <c r="T94" s="1">
        <f t="shared" si="48"/>
        <v>12</v>
      </c>
      <c r="U94" s="133">
        <f t="shared" si="49"/>
        <v>4.3499999999999996</v>
      </c>
      <c r="V94" s="132">
        <f>IF(Calculations!$B$17=3,2,IF((S94*R94/T94)&lt;((T94*(1-(T94/R94)))/(2*Lm*fsw)),1,2))</f>
        <v>2</v>
      </c>
      <c r="W94" s="1">
        <f t="shared" si="50"/>
        <v>0.33333333333333337</v>
      </c>
      <c r="X94" s="133">
        <f t="shared" si="51"/>
        <v>0.66666666666666663</v>
      </c>
      <c r="Y94" s="132">
        <f t="shared" si="52"/>
        <v>1.6</v>
      </c>
      <c r="Z94" s="1">
        <f t="shared" si="63"/>
        <v>5.1499999999999995</v>
      </c>
      <c r="AA94" s="1">
        <f t="shared" si="64"/>
        <v>4.3744523466753336</v>
      </c>
      <c r="AB94" s="1">
        <v>0</v>
      </c>
      <c r="AC94" s="1">
        <f t="shared" si="53"/>
        <v>0.31574125000000003</v>
      </c>
      <c r="AD94" s="133">
        <f t="shared" si="65"/>
        <v>0.31574125000000003</v>
      </c>
      <c r="AE94" s="132">
        <f t="shared" si="75"/>
        <v>1.45</v>
      </c>
      <c r="AF94" s="1">
        <f t="shared" si="66"/>
        <v>2.5255912399101934</v>
      </c>
      <c r="AG94" s="1">
        <f t="shared" si="54"/>
        <v>0.12757222222222217</v>
      </c>
      <c r="AH94" s="1">
        <f t="shared" si="55"/>
        <v>0.24829025558684126</v>
      </c>
      <c r="AI94" s="133">
        <f t="shared" si="67"/>
        <v>0.37586247780906346</v>
      </c>
      <c r="AJ94" s="132">
        <f t="shared" si="68"/>
        <v>2.8999999999999995</v>
      </c>
      <c r="AK94" s="1">
        <f t="shared" si="69"/>
        <v>3.5717253844916765</v>
      </c>
      <c r="AL94" s="1">
        <f t="shared" si="56"/>
        <v>0.25514444444444428</v>
      </c>
      <c r="AM94" s="1">
        <f t="shared" si="70"/>
        <v>0.15427500000000002</v>
      </c>
      <c r="AN94" s="136">
        <f t="shared" si="57"/>
        <v>7.2099999999999997E-2</v>
      </c>
      <c r="AO94" s="133">
        <f t="shared" si="71"/>
        <v>0.48151944444444433</v>
      </c>
      <c r="AP94" s="132">
        <f t="shared" si="58"/>
        <v>0.12533970833333333</v>
      </c>
      <c r="AQ94" s="137">
        <f t="shared" si="59"/>
        <v>0.31574125000000003</v>
      </c>
      <c r="AR94" s="137">
        <f t="shared" si="60"/>
        <v>4.147588250013759E-2</v>
      </c>
      <c r="AS94" s="1">
        <f t="shared" si="61"/>
        <v>5.9279999999999999E-2</v>
      </c>
      <c r="AT94" s="133">
        <f t="shared" si="62"/>
        <v>4.8000000000000001E-2</v>
      </c>
      <c r="AU94" s="132">
        <f t="shared" si="72"/>
        <v>1.7629600130869789</v>
      </c>
      <c r="AV94" s="1">
        <f t="shared" si="73"/>
        <v>52.199999999999996</v>
      </c>
      <c r="AW94" s="133">
        <f t="shared" si="74"/>
        <v>96.733018328387772</v>
      </c>
    </row>
    <row r="95" spans="17:49" x14ac:dyDescent="0.25">
      <c r="Q95">
        <v>88</v>
      </c>
      <c r="R95" s="132">
        <f t="shared" si="46"/>
        <v>18</v>
      </c>
      <c r="S95" s="1">
        <f t="shared" si="47"/>
        <v>2.9333333333333331</v>
      </c>
      <c r="T95" s="1">
        <f t="shared" si="48"/>
        <v>12</v>
      </c>
      <c r="U95" s="133">
        <f t="shared" si="49"/>
        <v>4.3999999999999995</v>
      </c>
      <c r="V95" s="132">
        <f>IF(Calculations!$B$17=3,2,IF((S95*R95/T95)&lt;((T95*(1-(T95/R95)))/(2*Lm*fsw)),1,2))</f>
        <v>2</v>
      </c>
      <c r="W95" s="1">
        <f t="shared" si="50"/>
        <v>0.33333333333333337</v>
      </c>
      <c r="X95" s="133">
        <f t="shared" si="51"/>
        <v>0.66666666666666663</v>
      </c>
      <c r="Y95" s="132">
        <f t="shared" si="52"/>
        <v>1.6</v>
      </c>
      <c r="Z95" s="1">
        <f t="shared" si="63"/>
        <v>5.1999999999999993</v>
      </c>
      <c r="AA95" s="1">
        <f t="shared" si="64"/>
        <v>4.4241760061432149</v>
      </c>
      <c r="AB95" s="1">
        <v>0</v>
      </c>
      <c r="AC95" s="1">
        <f t="shared" si="53"/>
        <v>0.32295999999999991</v>
      </c>
      <c r="AD95" s="133">
        <f t="shared" si="65"/>
        <v>0.32295999999999991</v>
      </c>
      <c r="AE95" s="132">
        <f t="shared" si="75"/>
        <v>1.4666666666666666</v>
      </c>
      <c r="AF95" s="1">
        <f t="shared" si="66"/>
        <v>2.5542992080890685</v>
      </c>
      <c r="AG95" s="1">
        <f t="shared" si="54"/>
        <v>0.13048888888888885</v>
      </c>
      <c r="AH95" s="1">
        <f t="shared" si="55"/>
        <v>0.25114416657059802</v>
      </c>
      <c r="AI95" s="133">
        <f t="shared" si="67"/>
        <v>0.38163305545948689</v>
      </c>
      <c r="AJ95" s="132">
        <f t="shared" si="68"/>
        <v>2.9333333333333327</v>
      </c>
      <c r="AK95" s="1">
        <f t="shared" si="69"/>
        <v>3.6123245824384167</v>
      </c>
      <c r="AL95" s="1">
        <f t="shared" si="56"/>
        <v>0.26097777777777764</v>
      </c>
      <c r="AM95" s="1">
        <f t="shared" si="70"/>
        <v>0.15427500000000002</v>
      </c>
      <c r="AN95" s="136">
        <f t="shared" si="57"/>
        <v>7.279999999999999E-2</v>
      </c>
      <c r="AO95" s="133">
        <f t="shared" si="71"/>
        <v>0.48805277777777767</v>
      </c>
      <c r="AP95" s="132">
        <f t="shared" si="58"/>
        <v>0.12820533333333328</v>
      </c>
      <c r="AQ95" s="137">
        <f t="shared" si="59"/>
        <v>0.32295999999999991</v>
      </c>
      <c r="AR95" s="137">
        <f t="shared" si="60"/>
        <v>4.147588250013759E-2</v>
      </c>
      <c r="AS95" s="1">
        <f t="shared" si="61"/>
        <v>5.9279999999999999E-2</v>
      </c>
      <c r="AT95" s="133">
        <f t="shared" si="62"/>
        <v>4.8000000000000001E-2</v>
      </c>
      <c r="AU95" s="132">
        <f t="shared" si="72"/>
        <v>1.7925670490707353</v>
      </c>
      <c r="AV95" s="1">
        <f t="shared" si="73"/>
        <v>52.8</v>
      </c>
      <c r="AW95" s="133">
        <f t="shared" si="74"/>
        <v>96.716463163456893</v>
      </c>
    </row>
    <row r="96" spans="17:49" x14ac:dyDescent="0.25">
      <c r="Q96">
        <v>89</v>
      </c>
      <c r="R96" s="132">
        <f t="shared" si="46"/>
        <v>18</v>
      </c>
      <c r="S96" s="1">
        <f t="shared" si="47"/>
        <v>2.9666666666666668</v>
      </c>
      <c r="T96" s="1">
        <f t="shared" si="48"/>
        <v>12</v>
      </c>
      <c r="U96" s="133">
        <f t="shared" si="49"/>
        <v>4.45</v>
      </c>
      <c r="V96" s="132">
        <f>IF(Calculations!$B$17=3,2,IF((S96*R96/T96)&lt;((T96*(1-(T96/R96)))/(2*Lm*fsw)),1,2))</f>
        <v>2</v>
      </c>
      <c r="W96" s="1">
        <f t="shared" si="50"/>
        <v>0.33333333333333337</v>
      </c>
      <c r="X96" s="133">
        <f t="shared" si="51"/>
        <v>0.66666666666666663</v>
      </c>
      <c r="Y96" s="132">
        <f t="shared" si="52"/>
        <v>1.6</v>
      </c>
      <c r="Z96" s="1">
        <f t="shared" si="63"/>
        <v>5.25</v>
      </c>
      <c r="AA96" s="1">
        <f t="shared" si="64"/>
        <v>4.4739058252642439</v>
      </c>
      <c r="AB96" s="1">
        <v>0</v>
      </c>
      <c r="AC96" s="1">
        <f t="shared" si="53"/>
        <v>0.33026125000000001</v>
      </c>
      <c r="AD96" s="133">
        <f t="shared" si="65"/>
        <v>0.33026125000000001</v>
      </c>
      <c r="AE96" s="132">
        <f t="shared" si="75"/>
        <v>1.4833333333333336</v>
      </c>
      <c r="AF96" s="1">
        <f t="shared" si="66"/>
        <v>2.583010732545346</v>
      </c>
      <c r="AG96" s="1">
        <f t="shared" si="54"/>
        <v>0.13343888888888888</v>
      </c>
      <c r="AH96" s="1">
        <f t="shared" si="55"/>
        <v>0.25399807755435488</v>
      </c>
      <c r="AI96" s="133">
        <f t="shared" si="67"/>
        <v>0.38743696644324377</v>
      </c>
      <c r="AJ96" s="132">
        <f t="shared" si="68"/>
        <v>2.9666666666666668</v>
      </c>
      <c r="AK96" s="1">
        <f t="shared" si="69"/>
        <v>3.6529288097208914</v>
      </c>
      <c r="AL96" s="1">
        <f t="shared" si="56"/>
        <v>0.26687777777777777</v>
      </c>
      <c r="AM96" s="1">
        <f t="shared" si="70"/>
        <v>0.15427500000000002</v>
      </c>
      <c r="AN96" s="136">
        <f t="shared" si="57"/>
        <v>7.3499999999999996E-2</v>
      </c>
      <c r="AO96" s="133">
        <f t="shared" si="71"/>
        <v>0.49465277777777783</v>
      </c>
      <c r="AP96" s="132">
        <f t="shared" si="58"/>
        <v>0.13110370833333332</v>
      </c>
      <c r="AQ96" s="137">
        <f t="shared" si="59"/>
        <v>0.33026125000000001</v>
      </c>
      <c r="AR96" s="137">
        <f t="shared" si="60"/>
        <v>4.147588250013759E-2</v>
      </c>
      <c r="AS96" s="1">
        <f t="shared" si="61"/>
        <v>5.9279999999999999E-2</v>
      </c>
      <c r="AT96" s="133">
        <f t="shared" si="62"/>
        <v>4.8000000000000001E-2</v>
      </c>
      <c r="AU96" s="132">
        <f t="shared" si="72"/>
        <v>1.8224718350544924</v>
      </c>
      <c r="AV96" s="1">
        <f t="shared" si="73"/>
        <v>53.400000000000006</v>
      </c>
      <c r="AW96" s="133">
        <f t="shared" si="74"/>
        <v>96.699764109621739</v>
      </c>
    </row>
    <row r="97" spans="17:49" x14ac:dyDescent="0.25">
      <c r="Q97">
        <v>90</v>
      </c>
      <c r="R97" s="132">
        <f t="shared" si="46"/>
        <v>18</v>
      </c>
      <c r="S97" s="1">
        <f t="shared" si="47"/>
        <v>3</v>
      </c>
      <c r="T97" s="1">
        <f t="shared" si="48"/>
        <v>12</v>
      </c>
      <c r="U97" s="133">
        <f t="shared" si="49"/>
        <v>4.5</v>
      </c>
      <c r="V97" s="132">
        <f>IF(Calculations!$B$17=3,2,IF((S97*R97/T97)&lt;((T97*(1-(T97/R97)))/(2*Lm*fsw)),1,2))</f>
        <v>2</v>
      </c>
      <c r="W97" s="1">
        <f t="shared" si="50"/>
        <v>0.33333333333333337</v>
      </c>
      <c r="X97" s="133">
        <f t="shared" si="51"/>
        <v>0.66666666666666663</v>
      </c>
      <c r="Y97" s="132">
        <f t="shared" si="52"/>
        <v>1.6</v>
      </c>
      <c r="Z97" s="1">
        <f t="shared" si="63"/>
        <v>5.3</v>
      </c>
      <c r="AA97" s="1">
        <f t="shared" si="64"/>
        <v>4.5236416008933924</v>
      </c>
      <c r="AB97" s="1">
        <v>0</v>
      </c>
      <c r="AC97" s="1">
        <f t="shared" si="53"/>
        <v>0.33764500000000003</v>
      </c>
      <c r="AD97" s="133">
        <f t="shared" si="65"/>
        <v>0.33764500000000003</v>
      </c>
      <c r="AE97" s="132">
        <f t="shared" si="75"/>
        <v>1.5000000000000002</v>
      </c>
      <c r="AF97" s="1">
        <f t="shared" si="66"/>
        <v>2.61172569599319</v>
      </c>
      <c r="AG97" s="1">
        <f t="shared" si="54"/>
        <v>0.13642222222222228</v>
      </c>
      <c r="AH97" s="1">
        <f t="shared" si="55"/>
        <v>0.25685198853811164</v>
      </c>
      <c r="AI97" s="133">
        <f t="shared" si="67"/>
        <v>0.39327421076033392</v>
      </c>
      <c r="AJ97" s="132">
        <f t="shared" si="68"/>
        <v>3</v>
      </c>
      <c r="AK97" s="1">
        <f t="shared" si="69"/>
        <v>3.6935379004718798</v>
      </c>
      <c r="AL97" s="1">
        <f t="shared" si="56"/>
        <v>0.27284444444444444</v>
      </c>
      <c r="AM97" s="1">
        <f t="shared" si="70"/>
        <v>0.15427500000000002</v>
      </c>
      <c r="AN97" s="136">
        <f t="shared" si="57"/>
        <v>7.4200000000000002E-2</v>
      </c>
      <c r="AO97" s="133">
        <f t="shared" si="71"/>
        <v>0.50131944444444454</v>
      </c>
      <c r="AP97" s="132">
        <f t="shared" si="58"/>
        <v>0.13403483333333333</v>
      </c>
      <c r="AQ97" s="137">
        <f t="shared" si="59"/>
        <v>0.33764500000000003</v>
      </c>
      <c r="AR97" s="137">
        <f t="shared" si="60"/>
        <v>4.147588250013759E-2</v>
      </c>
      <c r="AS97" s="1">
        <f t="shared" si="61"/>
        <v>5.9279999999999999E-2</v>
      </c>
      <c r="AT97" s="133">
        <f t="shared" si="62"/>
        <v>4.8000000000000001E-2</v>
      </c>
      <c r="AU97" s="132">
        <f t="shared" si="72"/>
        <v>1.8526743710382494</v>
      </c>
      <c r="AV97" s="1">
        <f t="shared" si="73"/>
        <v>54</v>
      </c>
      <c r="AW97" s="133">
        <f t="shared" si="74"/>
        <v>96.682926302274012</v>
      </c>
    </row>
    <row r="98" spans="17:49" x14ac:dyDescent="0.25">
      <c r="Q98">
        <v>91</v>
      </c>
      <c r="R98" s="132">
        <f t="shared" si="46"/>
        <v>18</v>
      </c>
      <c r="S98" s="1">
        <f t="shared" si="47"/>
        <v>3.0333333333333332</v>
      </c>
      <c r="T98" s="1">
        <f t="shared" si="48"/>
        <v>12</v>
      </c>
      <c r="U98" s="133">
        <f t="shared" si="49"/>
        <v>4.55</v>
      </c>
      <c r="V98" s="132">
        <f>IF(Calculations!$B$17=3,2,IF((S98*R98/T98)&lt;((T98*(1-(T98/R98)))/(2*Lm*fsw)),1,2))</f>
        <v>2</v>
      </c>
      <c r="W98" s="1">
        <f t="shared" si="50"/>
        <v>0.33333333333333337</v>
      </c>
      <c r="X98" s="133">
        <f t="shared" si="51"/>
        <v>0.66666666666666663</v>
      </c>
      <c r="Y98" s="132">
        <f t="shared" si="52"/>
        <v>1.6</v>
      </c>
      <c r="Z98" s="1">
        <f t="shared" si="63"/>
        <v>5.35</v>
      </c>
      <c r="AA98" s="1">
        <f t="shared" si="64"/>
        <v>4.5733831386986736</v>
      </c>
      <c r="AB98" s="1">
        <v>0</v>
      </c>
      <c r="AC98" s="1">
        <f t="shared" si="53"/>
        <v>0.34511124999999998</v>
      </c>
      <c r="AD98" s="133">
        <f t="shared" si="65"/>
        <v>0.34511124999999998</v>
      </c>
      <c r="AE98" s="132">
        <f t="shared" si="75"/>
        <v>1.5166666666666668</v>
      </c>
      <c r="AF98" s="1">
        <f t="shared" si="66"/>
        <v>2.6404439862349744</v>
      </c>
      <c r="AG98" s="1">
        <f t="shared" si="54"/>
        <v>0.13943888888888883</v>
      </c>
      <c r="AH98" s="1">
        <f t="shared" si="55"/>
        <v>0.2597058995218684</v>
      </c>
      <c r="AI98" s="133">
        <f t="shared" si="67"/>
        <v>0.39914478841075723</v>
      </c>
      <c r="AJ98" s="132">
        <f t="shared" si="68"/>
        <v>3.0333333333333332</v>
      </c>
      <c r="AK98" s="1">
        <f t="shared" si="69"/>
        <v>3.7341516960199783</v>
      </c>
      <c r="AL98" s="1">
        <f t="shared" si="56"/>
        <v>0.27887777777777761</v>
      </c>
      <c r="AM98" s="1">
        <f t="shared" si="70"/>
        <v>0.15427500000000002</v>
      </c>
      <c r="AN98" s="136">
        <f t="shared" si="57"/>
        <v>7.4899999999999994E-2</v>
      </c>
      <c r="AO98" s="133">
        <f t="shared" si="71"/>
        <v>0.50805277777777758</v>
      </c>
      <c r="AP98" s="132">
        <f t="shared" si="58"/>
        <v>0.1369987083333333</v>
      </c>
      <c r="AQ98" s="137">
        <f t="shared" si="59"/>
        <v>0.34511124999999998</v>
      </c>
      <c r="AR98" s="137">
        <f t="shared" si="60"/>
        <v>4.147588250013759E-2</v>
      </c>
      <c r="AS98" s="1">
        <f t="shared" si="61"/>
        <v>5.9279999999999999E-2</v>
      </c>
      <c r="AT98" s="133">
        <f t="shared" si="62"/>
        <v>4.8000000000000001E-2</v>
      </c>
      <c r="AU98" s="132">
        <f t="shared" si="72"/>
        <v>1.8831746570220056</v>
      </c>
      <c r="AV98" s="1">
        <f t="shared" si="73"/>
        <v>54.599999999999994</v>
      </c>
      <c r="AW98" s="133">
        <f t="shared" si="74"/>
        <v>96.665954652058701</v>
      </c>
    </row>
    <row r="99" spans="17:49" x14ac:dyDescent="0.25">
      <c r="Q99">
        <v>92</v>
      </c>
      <c r="R99" s="132">
        <f t="shared" si="46"/>
        <v>18</v>
      </c>
      <c r="S99" s="1">
        <f t="shared" si="47"/>
        <v>3.0666666666666664</v>
      </c>
      <c r="T99" s="1">
        <f t="shared" si="48"/>
        <v>12</v>
      </c>
      <c r="U99" s="133">
        <f t="shared" si="49"/>
        <v>4.5999999999999996</v>
      </c>
      <c r="V99" s="132">
        <f>IF(Calculations!$B$17=3,2,IF((S99*R99/T99)&lt;((T99*(1-(T99/R99)))/(2*Lm*fsw)),1,2))</f>
        <v>2</v>
      </c>
      <c r="W99" s="1">
        <f t="shared" si="50"/>
        <v>0.33333333333333337</v>
      </c>
      <c r="X99" s="133">
        <f t="shared" si="51"/>
        <v>0.66666666666666663</v>
      </c>
      <c r="Y99" s="132">
        <f t="shared" si="52"/>
        <v>1.6</v>
      </c>
      <c r="Z99" s="1">
        <f t="shared" si="63"/>
        <v>5.3999999999999995</v>
      </c>
      <c r="AA99" s="1">
        <f t="shared" si="64"/>
        <v>4.623130252689549</v>
      </c>
      <c r="AB99" s="1">
        <v>0</v>
      </c>
      <c r="AC99" s="1">
        <f t="shared" si="53"/>
        <v>0.35266000000000003</v>
      </c>
      <c r="AD99" s="133">
        <f t="shared" si="65"/>
        <v>0.35266000000000003</v>
      </c>
      <c r="AE99" s="132">
        <f t="shared" si="75"/>
        <v>1.5333333333333334</v>
      </c>
      <c r="AF99" s="1">
        <f t="shared" si="66"/>
        <v>2.6691654958890134</v>
      </c>
      <c r="AG99" s="1">
        <f t="shared" si="54"/>
        <v>0.14248888888888886</v>
      </c>
      <c r="AH99" s="1">
        <f t="shared" si="55"/>
        <v>0.26255981050562521</v>
      </c>
      <c r="AI99" s="133">
        <f t="shared" si="67"/>
        <v>0.40504869939451404</v>
      </c>
      <c r="AJ99" s="132">
        <f t="shared" si="68"/>
        <v>3.0666666666666664</v>
      </c>
      <c r="AK99" s="1">
        <f t="shared" si="69"/>
        <v>3.7747700445045504</v>
      </c>
      <c r="AL99" s="1">
        <f t="shared" si="56"/>
        <v>0.28497777777777772</v>
      </c>
      <c r="AM99" s="1">
        <f t="shared" si="70"/>
        <v>0.15427500000000002</v>
      </c>
      <c r="AN99" s="136">
        <f t="shared" si="57"/>
        <v>7.5600000000000001E-2</v>
      </c>
      <c r="AO99" s="133">
        <f t="shared" si="71"/>
        <v>0.51485277777777771</v>
      </c>
      <c r="AP99" s="132">
        <f t="shared" si="58"/>
        <v>0.13999533333333333</v>
      </c>
      <c r="AQ99" s="137">
        <f t="shared" si="59"/>
        <v>0.35266000000000003</v>
      </c>
      <c r="AR99" s="137">
        <f t="shared" si="60"/>
        <v>4.147588250013759E-2</v>
      </c>
      <c r="AS99" s="1">
        <f t="shared" si="61"/>
        <v>5.9279999999999999E-2</v>
      </c>
      <c r="AT99" s="133">
        <f t="shared" si="62"/>
        <v>4.8000000000000001E-2</v>
      </c>
      <c r="AU99" s="132">
        <f t="shared" si="72"/>
        <v>1.9139726930057626</v>
      </c>
      <c r="AV99" s="1">
        <f t="shared" si="73"/>
        <v>55.199999999999996</v>
      </c>
      <c r="AW99" s="133">
        <f t="shared" si="74"/>
        <v>96.648853857017471</v>
      </c>
    </row>
    <row r="100" spans="17:49" x14ac:dyDescent="0.25">
      <c r="Q100">
        <v>93</v>
      </c>
      <c r="R100" s="132">
        <f t="shared" si="46"/>
        <v>18</v>
      </c>
      <c r="S100" s="1">
        <f t="shared" si="47"/>
        <v>3.1</v>
      </c>
      <c r="T100" s="1">
        <f t="shared" si="48"/>
        <v>12</v>
      </c>
      <c r="U100" s="133">
        <f t="shared" si="49"/>
        <v>4.6500000000000004</v>
      </c>
      <c r="V100" s="132">
        <f>IF(Calculations!$B$17=3,2,IF((S100*R100/T100)&lt;((T100*(1-(T100/R100)))/(2*Lm*fsw)),1,2))</f>
        <v>2</v>
      </c>
      <c r="W100" s="1">
        <f t="shared" si="50"/>
        <v>0.33333333333333337</v>
      </c>
      <c r="X100" s="133">
        <f t="shared" si="51"/>
        <v>0.66666666666666663</v>
      </c>
      <c r="Y100" s="132">
        <f t="shared" si="52"/>
        <v>1.6</v>
      </c>
      <c r="Z100" s="1">
        <f t="shared" si="63"/>
        <v>5.45</v>
      </c>
      <c r="AA100" s="1">
        <f t="shared" si="64"/>
        <v>4.6728827647752231</v>
      </c>
      <c r="AB100" s="1">
        <v>0</v>
      </c>
      <c r="AC100" s="1">
        <f t="shared" si="53"/>
        <v>0.36029125000000001</v>
      </c>
      <c r="AD100" s="133">
        <f t="shared" si="65"/>
        <v>0.36029125000000001</v>
      </c>
      <c r="AE100" s="132">
        <f t="shared" si="75"/>
        <v>1.5500000000000003</v>
      </c>
      <c r="AF100" s="1">
        <f t="shared" si="66"/>
        <v>2.6978901221345377</v>
      </c>
      <c r="AG100" s="1">
        <f t="shared" si="54"/>
        <v>0.14557222222222221</v>
      </c>
      <c r="AH100" s="1">
        <f t="shared" si="55"/>
        <v>0.26541372148938203</v>
      </c>
      <c r="AI100" s="133">
        <f t="shared" si="67"/>
        <v>0.41098594371160424</v>
      </c>
      <c r="AJ100" s="132">
        <f t="shared" si="68"/>
        <v>3.1</v>
      </c>
      <c r="AK100" s="1">
        <f t="shared" si="69"/>
        <v>3.815392800515069</v>
      </c>
      <c r="AL100" s="1">
        <f t="shared" si="56"/>
        <v>0.29114444444444443</v>
      </c>
      <c r="AM100" s="1">
        <f t="shared" si="70"/>
        <v>0.15427500000000002</v>
      </c>
      <c r="AN100" s="136">
        <f t="shared" si="57"/>
        <v>7.6300000000000007E-2</v>
      </c>
      <c r="AO100" s="133">
        <f t="shared" si="71"/>
        <v>0.52171944444444451</v>
      </c>
      <c r="AP100" s="132">
        <f t="shared" si="58"/>
        <v>0.14302470833333333</v>
      </c>
      <c r="AQ100" s="137">
        <f t="shared" si="59"/>
        <v>0.36029125000000001</v>
      </c>
      <c r="AR100" s="137">
        <f t="shared" si="60"/>
        <v>4.147588250013759E-2</v>
      </c>
      <c r="AS100" s="1">
        <f t="shared" si="61"/>
        <v>5.9279999999999999E-2</v>
      </c>
      <c r="AT100" s="133">
        <f t="shared" si="62"/>
        <v>4.8000000000000001E-2</v>
      </c>
      <c r="AU100" s="132">
        <f t="shared" si="72"/>
        <v>1.9450684789895196</v>
      </c>
      <c r="AV100" s="1">
        <f t="shared" si="73"/>
        <v>55.800000000000004</v>
      </c>
      <c r="AW100" s="133">
        <f t="shared" si="74"/>
        <v>96.631628413953251</v>
      </c>
    </row>
    <row r="101" spans="17:49" x14ac:dyDescent="0.25">
      <c r="Q101">
        <v>94</v>
      </c>
      <c r="R101" s="132">
        <f t="shared" si="46"/>
        <v>18</v>
      </c>
      <c r="S101" s="1">
        <f t="shared" si="47"/>
        <v>3.1333333333333333</v>
      </c>
      <c r="T101" s="1">
        <f t="shared" si="48"/>
        <v>12</v>
      </c>
      <c r="U101" s="133">
        <f t="shared" si="49"/>
        <v>4.7</v>
      </c>
      <c r="V101" s="132">
        <f>IF(Calculations!$B$17=3,2,IF((S101*R101/T101)&lt;((T101*(1-(T101/R101)))/(2*Lm*fsw)),1,2))</f>
        <v>2</v>
      </c>
      <c r="W101" s="1">
        <f t="shared" si="50"/>
        <v>0.33333333333333337</v>
      </c>
      <c r="X101" s="133">
        <f t="shared" si="51"/>
        <v>0.66666666666666663</v>
      </c>
      <c r="Y101" s="132">
        <f t="shared" si="52"/>
        <v>1.6</v>
      </c>
      <c r="Z101" s="1">
        <f t="shared" si="63"/>
        <v>5.5</v>
      </c>
      <c r="AA101" s="1">
        <f t="shared" si="64"/>
        <v>4.7226405043506476</v>
      </c>
      <c r="AB101" s="1">
        <v>0</v>
      </c>
      <c r="AC101" s="1">
        <f t="shared" si="53"/>
        <v>0.36800500000000008</v>
      </c>
      <c r="AD101" s="133">
        <f t="shared" si="65"/>
        <v>0.36800500000000008</v>
      </c>
      <c r="AE101" s="132">
        <f t="shared" si="75"/>
        <v>1.5666666666666669</v>
      </c>
      <c r="AF101" s="1">
        <f t="shared" si="66"/>
        <v>2.7266177664726761</v>
      </c>
      <c r="AG101" s="1">
        <f t="shared" si="54"/>
        <v>0.1486888888888889</v>
      </c>
      <c r="AH101" s="1">
        <f t="shared" si="55"/>
        <v>0.26826763247313884</v>
      </c>
      <c r="AI101" s="133">
        <f t="shared" si="67"/>
        <v>0.41695652136202777</v>
      </c>
      <c r="AJ101" s="132">
        <f t="shared" si="68"/>
        <v>3.1333333333333333</v>
      </c>
      <c r="AK101" s="1">
        <f t="shared" si="69"/>
        <v>3.8560198247530946</v>
      </c>
      <c r="AL101" s="1">
        <f t="shared" si="56"/>
        <v>0.29737777777777774</v>
      </c>
      <c r="AM101" s="1">
        <f t="shared" si="70"/>
        <v>0.15427500000000002</v>
      </c>
      <c r="AN101" s="136">
        <f t="shared" si="57"/>
        <v>7.6999999999999999E-2</v>
      </c>
      <c r="AO101" s="133">
        <f t="shared" si="71"/>
        <v>0.52865277777777775</v>
      </c>
      <c r="AP101" s="132">
        <f t="shared" si="58"/>
        <v>0.14608683333333336</v>
      </c>
      <c r="AQ101" s="137">
        <f t="shared" si="59"/>
        <v>0.36800500000000008</v>
      </c>
      <c r="AR101" s="137">
        <f t="shared" si="60"/>
        <v>4.147588250013759E-2</v>
      </c>
      <c r="AS101" s="1">
        <f t="shared" si="61"/>
        <v>5.9279999999999999E-2</v>
      </c>
      <c r="AT101" s="133">
        <f t="shared" si="62"/>
        <v>4.8000000000000001E-2</v>
      </c>
      <c r="AU101" s="132">
        <f t="shared" si="72"/>
        <v>1.9764620149732768</v>
      </c>
      <c r="AV101" s="1">
        <f t="shared" si="73"/>
        <v>56.4</v>
      </c>
      <c r="AW101" s="133">
        <f t="shared" si="74"/>
        <v>96.614282629073472</v>
      </c>
    </row>
    <row r="102" spans="17:49" x14ac:dyDescent="0.25">
      <c r="Q102">
        <v>95</v>
      </c>
      <c r="R102" s="132">
        <f t="shared" si="46"/>
        <v>18</v>
      </c>
      <c r="S102" s="1">
        <f t="shared" si="47"/>
        <v>3.1666666666666665</v>
      </c>
      <c r="T102" s="1">
        <f t="shared" si="48"/>
        <v>12</v>
      </c>
      <c r="U102" s="133">
        <f t="shared" si="49"/>
        <v>4.75</v>
      </c>
      <c r="V102" s="132">
        <f>IF(Calculations!$B$17=3,2,IF((S102*R102/T102)&lt;((T102*(1-(T102/R102)))/(2*Lm*fsw)),1,2))</f>
        <v>2</v>
      </c>
      <c r="W102" s="1">
        <f t="shared" si="50"/>
        <v>0.33333333333333337</v>
      </c>
      <c r="X102" s="133">
        <f t="shared" si="51"/>
        <v>0.66666666666666663</v>
      </c>
      <c r="Y102" s="132">
        <f t="shared" si="52"/>
        <v>1.6</v>
      </c>
      <c r="Z102" s="1">
        <f t="shared" si="63"/>
        <v>5.55</v>
      </c>
      <c r="AA102" s="1">
        <f t="shared" si="64"/>
        <v>4.7724033079082213</v>
      </c>
      <c r="AB102" s="1">
        <v>0</v>
      </c>
      <c r="AC102" s="1">
        <f t="shared" si="53"/>
        <v>0.37580125000000003</v>
      </c>
      <c r="AD102" s="133">
        <f t="shared" si="65"/>
        <v>0.37580125000000003</v>
      </c>
      <c r="AE102" s="132">
        <f t="shared" si="75"/>
        <v>1.5833333333333335</v>
      </c>
      <c r="AF102" s="1">
        <f t="shared" si="66"/>
        <v>2.7553483345022722</v>
      </c>
      <c r="AG102" s="1">
        <f t="shared" si="54"/>
        <v>0.15183888888888891</v>
      </c>
      <c r="AH102" s="1">
        <f t="shared" si="55"/>
        <v>0.2711215434568956</v>
      </c>
      <c r="AI102" s="133">
        <f t="shared" si="67"/>
        <v>0.42296043234578451</v>
      </c>
      <c r="AJ102" s="132">
        <f t="shared" si="68"/>
        <v>3.1666666666666665</v>
      </c>
      <c r="AK102" s="1">
        <f t="shared" si="69"/>
        <v>3.8966509837152321</v>
      </c>
      <c r="AL102" s="1">
        <f t="shared" si="56"/>
        <v>0.30367777777777771</v>
      </c>
      <c r="AM102" s="1">
        <f t="shared" si="70"/>
        <v>0.15427500000000002</v>
      </c>
      <c r="AN102" s="136">
        <f t="shared" si="57"/>
        <v>7.7700000000000005E-2</v>
      </c>
      <c r="AO102" s="133">
        <f t="shared" si="71"/>
        <v>0.53565277777777776</v>
      </c>
      <c r="AP102" s="132">
        <f t="shared" si="58"/>
        <v>0.14918170833333333</v>
      </c>
      <c r="AQ102" s="137">
        <f t="shared" si="59"/>
        <v>0.37580125000000003</v>
      </c>
      <c r="AR102" s="137">
        <f t="shared" si="60"/>
        <v>4.147588250013759E-2</v>
      </c>
      <c r="AS102" s="1">
        <f t="shared" si="61"/>
        <v>5.9279999999999999E-2</v>
      </c>
      <c r="AT102" s="133">
        <f t="shared" si="62"/>
        <v>4.8000000000000001E-2</v>
      </c>
      <c r="AU102" s="132">
        <f t="shared" si="72"/>
        <v>2.0081533009570336</v>
      </c>
      <c r="AV102" s="1">
        <f t="shared" si="73"/>
        <v>57</v>
      </c>
      <c r="AW102" s="133">
        <f t="shared" si="74"/>
        <v>96.596820627964874</v>
      </c>
    </row>
    <row r="103" spans="17:49" x14ac:dyDescent="0.25">
      <c r="Q103">
        <v>96</v>
      </c>
      <c r="R103" s="132">
        <f t="shared" si="46"/>
        <v>18</v>
      </c>
      <c r="S103" s="1">
        <f t="shared" si="47"/>
        <v>3.2</v>
      </c>
      <c r="T103" s="1">
        <f t="shared" ref="T103:T134" si="76">Vin_vari</f>
        <v>12</v>
      </c>
      <c r="U103" s="133">
        <f t="shared" ref="U103:U134" si="77">(R103*S103)/(T103*EFF_est)</f>
        <v>4.8</v>
      </c>
      <c r="V103" s="132">
        <f>IF(Calculations!$B$17=3,2,IF((S103*R103/T103)&lt;((T103*(1-(T103/R103)))/(2*Lm*fsw)),1,2))</f>
        <v>2</v>
      </c>
      <c r="W103" s="1">
        <f t="shared" ref="W103:W134" si="78">CHOOSE(V103,SQRT((2*S103*Lm*fsw*(R103-T103))/((T103)^2)),1-(T103/R103))</f>
        <v>0.33333333333333337</v>
      </c>
      <c r="X103" s="133">
        <f t="shared" ref="X103:X134" si="79">CHOOSE(V103,(Lm*Z103*fsw)/(R103-T103),1-W103)</f>
        <v>0.66666666666666663</v>
      </c>
      <c r="Y103" s="132">
        <f t="shared" ref="Y103:Y134" si="80">(T103*W103)/(Lm*fsw)</f>
        <v>1.6</v>
      </c>
      <c r="Z103" s="1">
        <f t="shared" si="63"/>
        <v>5.6</v>
      </c>
      <c r="AA103" s="1">
        <f t="shared" si="64"/>
        <v>4.8221710186733668</v>
      </c>
      <c r="AB103" s="1">
        <v>0</v>
      </c>
      <c r="AC103" s="1">
        <f t="shared" ref="AC103:AC134" si="81">(AA103^2)*Rdcr</f>
        <v>0.38368000000000008</v>
      </c>
      <c r="AD103" s="133">
        <f t="shared" si="65"/>
        <v>0.38368000000000008</v>
      </c>
      <c r="AE103" s="132">
        <f t="shared" si="75"/>
        <v>1.6</v>
      </c>
      <c r="AF103" s="1">
        <f t="shared" si="66"/>
        <v>2.78408173570948</v>
      </c>
      <c r="AG103" s="1">
        <f t="shared" ref="AG103:AG134" si="82">(AF103^2)*RDS_on</f>
        <v>0.15502222222222223</v>
      </c>
      <c r="AH103" s="1">
        <f t="shared" ref="AH103:AH134" si="83">((R103*U103)/2)*fsw*(tr_sw+tf_sw)</f>
        <v>0.27397545444065236</v>
      </c>
      <c r="AI103" s="133">
        <f t="shared" si="67"/>
        <v>0.42899767666287458</v>
      </c>
      <c r="AJ103" s="132">
        <f t="shared" si="68"/>
        <v>3.1999999999999997</v>
      </c>
      <c r="AK103" s="1">
        <f t="shared" si="69"/>
        <v>3.9372861493955731</v>
      </c>
      <c r="AL103" s="1">
        <f t="shared" ref="AL103:AL134" si="84">(AK103^2)*RDS_on_HS</f>
        <v>0.3100444444444444</v>
      </c>
      <c r="AM103" s="1">
        <f t="shared" si="70"/>
        <v>0.15427500000000002</v>
      </c>
      <c r="AN103" s="136">
        <f t="shared" ref="AN103:AN134" si="85">Vd_rect*t_dead*fsw*Z103</f>
        <v>7.8399999999999997E-2</v>
      </c>
      <c r="AO103" s="133">
        <f t="shared" si="71"/>
        <v>0.54271944444444442</v>
      </c>
      <c r="AP103" s="132">
        <f t="shared" ref="AP103:AP134" si="86">(AA103^2)*Rcs</f>
        <v>0.15230933333333335</v>
      </c>
      <c r="AQ103" s="137">
        <f t="shared" ref="AQ103:AQ134" si="87">Rdcr*AA103^2</f>
        <v>0.38368000000000008</v>
      </c>
      <c r="AR103" s="137">
        <f t="shared" ref="AR103:AR134" si="88">ABS(7.759*10^-3*fsw^0.9458*(0.00787*Y103)^2.304)</f>
        <v>4.147588250013759E-2</v>
      </c>
      <c r="AS103" s="1">
        <f t="shared" ref="AS103:AS134" si="89">(Qg_tot+Qg_tot_HS)*VCC*fsw</f>
        <v>5.9279999999999999E-2</v>
      </c>
      <c r="AT103" s="133">
        <f t="shared" ref="AT103:AT134" si="90">IQ*T103</f>
        <v>4.8000000000000001E-2</v>
      </c>
      <c r="AU103" s="132">
        <f t="shared" si="72"/>
        <v>2.0401423369407903</v>
      </c>
      <c r="AV103" s="1">
        <f t="shared" si="73"/>
        <v>57.6</v>
      </c>
      <c r="AW103" s="133">
        <f t="shared" si="74"/>
        <v>96.579246364948503</v>
      </c>
    </row>
    <row r="104" spans="17:49" x14ac:dyDescent="0.25">
      <c r="Q104">
        <v>97</v>
      </c>
      <c r="R104" s="132">
        <f t="shared" si="46"/>
        <v>18</v>
      </c>
      <c r="S104" s="1">
        <f t="shared" si="47"/>
        <v>3.2333333333333334</v>
      </c>
      <c r="T104" s="1">
        <f t="shared" si="76"/>
        <v>12</v>
      </c>
      <c r="U104" s="133">
        <f t="shared" si="77"/>
        <v>4.8500000000000005</v>
      </c>
      <c r="V104" s="132">
        <f>IF(Calculations!$B$17=3,2,IF((S104*R104/T104)&lt;((T104*(1-(T104/R104)))/(2*Lm*fsw)),1,2))</f>
        <v>2</v>
      </c>
      <c r="W104" s="1">
        <f t="shared" si="78"/>
        <v>0.33333333333333337</v>
      </c>
      <c r="X104" s="133">
        <f t="shared" si="79"/>
        <v>0.66666666666666663</v>
      </c>
      <c r="Y104" s="132">
        <f t="shared" si="80"/>
        <v>1.6</v>
      </c>
      <c r="Z104" s="1">
        <f t="shared" si="63"/>
        <v>5.65</v>
      </c>
      <c r="AA104" s="1">
        <f t="shared" si="64"/>
        <v>4.8719434862622677</v>
      </c>
      <c r="AB104" s="1">
        <v>0</v>
      </c>
      <c r="AC104" s="1">
        <f t="shared" si="81"/>
        <v>0.39164125000000011</v>
      </c>
      <c r="AD104" s="133">
        <f t="shared" si="65"/>
        <v>0.39164125000000011</v>
      </c>
      <c r="AE104" s="132">
        <f t="shared" si="75"/>
        <v>1.6166666666666669</v>
      </c>
      <c r="AF104" s="1">
        <f t="shared" si="66"/>
        <v>2.8128178832701645</v>
      </c>
      <c r="AG104" s="1">
        <f t="shared" si="82"/>
        <v>0.15823888888888898</v>
      </c>
      <c r="AH104" s="1">
        <f t="shared" si="83"/>
        <v>0.27682936542440928</v>
      </c>
      <c r="AI104" s="133">
        <f t="shared" si="67"/>
        <v>0.43506825431329826</v>
      </c>
      <c r="AJ104" s="132">
        <f t="shared" si="68"/>
        <v>3.2333333333333334</v>
      </c>
      <c r="AK104" s="1">
        <f t="shared" si="69"/>
        <v>3.9779251990062474</v>
      </c>
      <c r="AL104" s="1">
        <f t="shared" si="84"/>
        <v>0.31647777777777786</v>
      </c>
      <c r="AM104" s="1">
        <f t="shared" ref="AM104:AM135" si="91">CHOOSE(V104,(R104+Vd_rect)*Qrr*fsw,(R104+Vd_rect)*Qrr*fsw)</f>
        <v>0.15427500000000002</v>
      </c>
      <c r="AN104" s="136">
        <f t="shared" si="85"/>
        <v>7.9100000000000004E-2</v>
      </c>
      <c r="AO104" s="133">
        <f t="shared" si="71"/>
        <v>0.54985277777777797</v>
      </c>
      <c r="AP104" s="132">
        <f t="shared" si="86"/>
        <v>0.15546970833333335</v>
      </c>
      <c r="AQ104" s="137">
        <f t="shared" si="87"/>
        <v>0.39164125000000011</v>
      </c>
      <c r="AR104" s="137">
        <f t="shared" si="88"/>
        <v>4.147588250013759E-2</v>
      </c>
      <c r="AS104" s="1">
        <f t="shared" si="89"/>
        <v>5.9279999999999999E-2</v>
      </c>
      <c r="AT104" s="133">
        <f t="shared" si="90"/>
        <v>4.8000000000000001E-2</v>
      </c>
      <c r="AU104" s="132">
        <f t="shared" si="72"/>
        <v>2.0724291229245475</v>
      </c>
      <c r="AV104" s="1">
        <f t="shared" si="73"/>
        <v>58.2</v>
      </c>
      <c r="AW104" s="133">
        <f t="shared" si="74"/>
        <v>96.561563631859158</v>
      </c>
    </row>
    <row r="105" spans="17:49" x14ac:dyDescent="0.25">
      <c r="Q105">
        <v>98</v>
      </c>
      <c r="R105" s="132">
        <f t="shared" si="46"/>
        <v>18</v>
      </c>
      <c r="S105" s="1">
        <f t="shared" si="47"/>
        <v>3.2666666666666666</v>
      </c>
      <c r="T105" s="1">
        <f t="shared" si="76"/>
        <v>12</v>
      </c>
      <c r="U105" s="133">
        <f t="shared" si="77"/>
        <v>4.8999999999999995</v>
      </c>
      <c r="V105" s="132">
        <f>IF(Calculations!$B$17=3,2,IF((S105*R105/T105)&lt;((T105*(1-(T105/R105)))/(2*Lm*fsw)),1,2))</f>
        <v>2</v>
      </c>
      <c r="W105" s="1">
        <f t="shared" si="78"/>
        <v>0.33333333333333337</v>
      </c>
      <c r="X105" s="133">
        <f t="shared" si="79"/>
        <v>0.66666666666666663</v>
      </c>
      <c r="Y105" s="132">
        <f t="shared" si="80"/>
        <v>1.6</v>
      </c>
      <c r="Z105" s="1">
        <f t="shared" si="63"/>
        <v>5.6999999999999993</v>
      </c>
      <c r="AA105" s="1">
        <f t="shared" si="64"/>
        <v>4.9217205663602366</v>
      </c>
      <c r="AB105" s="1">
        <v>0</v>
      </c>
      <c r="AC105" s="1">
        <f t="shared" si="81"/>
        <v>0.39968499999999996</v>
      </c>
      <c r="AD105" s="133">
        <f t="shared" si="65"/>
        <v>0.39968499999999996</v>
      </c>
      <c r="AE105" s="132">
        <f t="shared" si="75"/>
        <v>1.6333333333333333</v>
      </c>
      <c r="AF105" s="1">
        <f t="shared" si="66"/>
        <v>2.8415566938642001</v>
      </c>
      <c r="AG105" s="1">
        <f t="shared" si="82"/>
        <v>0.16148888888888888</v>
      </c>
      <c r="AH105" s="1">
        <f t="shared" si="83"/>
        <v>0.27968327640816598</v>
      </c>
      <c r="AI105" s="133">
        <f t="shared" si="67"/>
        <v>0.44117216529705483</v>
      </c>
      <c r="AJ105" s="132">
        <f t="shared" si="68"/>
        <v>3.2666666666666662</v>
      </c>
      <c r="AK105" s="1">
        <f t="shared" si="69"/>
        <v>4.0185680147148046</v>
      </c>
      <c r="AL105" s="1">
        <f t="shared" si="84"/>
        <v>0.32297777777777775</v>
      </c>
      <c r="AM105" s="1">
        <f t="shared" si="91"/>
        <v>0.15427500000000002</v>
      </c>
      <c r="AN105" s="136">
        <f t="shared" si="85"/>
        <v>7.9799999999999996E-2</v>
      </c>
      <c r="AO105" s="133">
        <f t="shared" si="71"/>
        <v>0.55705277777777773</v>
      </c>
      <c r="AP105" s="132">
        <f t="shared" si="86"/>
        <v>0.15866283333333328</v>
      </c>
      <c r="AQ105" s="137">
        <f t="shared" si="87"/>
        <v>0.39968499999999996</v>
      </c>
      <c r="AR105" s="137">
        <f t="shared" si="88"/>
        <v>4.147588250013759E-2</v>
      </c>
      <c r="AS105" s="1">
        <f t="shared" si="89"/>
        <v>5.9279999999999999E-2</v>
      </c>
      <c r="AT105" s="133">
        <f t="shared" si="90"/>
        <v>4.8000000000000001E-2</v>
      </c>
      <c r="AU105" s="132">
        <f t="shared" si="72"/>
        <v>2.1050136589083035</v>
      </c>
      <c r="AV105" s="1">
        <f t="shared" si="73"/>
        <v>58.8</v>
      </c>
      <c r="AW105" s="133">
        <f t="shared" si="74"/>
        <v>96.543776066290377</v>
      </c>
    </row>
    <row r="106" spans="17:49" x14ac:dyDescent="0.25">
      <c r="Q106">
        <v>99</v>
      </c>
      <c r="R106" s="132">
        <f t="shared" si="46"/>
        <v>18</v>
      </c>
      <c r="S106" s="1">
        <f t="shared" si="47"/>
        <v>3.3</v>
      </c>
      <c r="T106" s="1">
        <f t="shared" si="76"/>
        <v>12</v>
      </c>
      <c r="U106" s="133">
        <f t="shared" si="77"/>
        <v>4.95</v>
      </c>
      <c r="V106" s="132">
        <f>IF(Calculations!$B$17=3,2,IF((S106*R106/T106)&lt;((T106*(1-(T106/R106)))/(2*Lm*fsw)),1,2))</f>
        <v>2</v>
      </c>
      <c r="W106" s="1">
        <f t="shared" si="78"/>
        <v>0.33333333333333337</v>
      </c>
      <c r="X106" s="133">
        <f t="shared" si="79"/>
        <v>0.66666666666666663</v>
      </c>
      <c r="Y106" s="132">
        <f t="shared" si="80"/>
        <v>1.6</v>
      </c>
      <c r="Z106" s="1">
        <f t="shared" si="63"/>
        <v>5.75</v>
      </c>
      <c r="AA106" s="1">
        <f t="shared" si="64"/>
        <v>4.9715021204192738</v>
      </c>
      <c r="AB106" s="1">
        <v>0</v>
      </c>
      <c r="AC106" s="1">
        <f t="shared" si="81"/>
        <v>0.40781125000000007</v>
      </c>
      <c r="AD106" s="133">
        <f t="shared" si="65"/>
        <v>0.40781125000000007</v>
      </c>
      <c r="AE106" s="132">
        <f t="shared" si="75"/>
        <v>1.6500000000000001</v>
      </c>
      <c r="AF106" s="1">
        <f t="shared" si="66"/>
        <v>2.8702980875008626</v>
      </c>
      <c r="AG106" s="1">
        <f t="shared" si="82"/>
        <v>0.16477222222222221</v>
      </c>
      <c r="AH106" s="1">
        <f t="shared" si="83"/>
        <v>0.28253718739192285</v>
      </c>
      <c r="AI106" s="133">
        <f t="shared" si="67"/>
        <v>0.44730940961414506</v>
      </c>
      <c r="AJ106" s="132">
        <f t="shared" si="68"/>
        <v>3.3</v>
      </c>
      <c r="AK106" s="1">
        <f t="shared" si="69"/>
        <v>4.0592144833972768</v>
      </c>
      <c r="AL106" s="1">
        <f t="shared" si="84"/>
        <v>0.32954444444444442</v>
      </c>
      <c r="AM106" s="1">
        <f t="shared" si="91"/>
        <v>0.15427500000000002</v>
      </c>
      <c r="AN106" s="136">
        <f t="shared" si="85"/>
        <v>8.0500000000000002E-2</v>
      </c>
      <c r="AO106" s="133">
        <f t="shared" si="71"/>
        <v>0.56431944444444448</v>
      </c>
      <c r="AP106" s="132">
        <f t="shared" si="86"/>
        <v>0.16188870833333333</v>
      </c>
      <c r="AQ106" s="137">
        <f t="shared" si="87"/>
        <v>0.40781125000000007</v>
      </c>
      <c r="AR106" s="137">
        <f t="shared" si="88"/>
        <v>4.147588250013759E-2</v>
      </c>
      <c r="AS106" s="1">
        <f t="shared" si="89"/>
        <v>5.9279999999999999E-2</v>
      </c>
      <c r="AT106" s="133">
        <f t="shared" si="90"/>
        <v>4.8000000000000001E-2</v>
      </c>
      <c r="AU106" s="132">
        <f t="shared" si="72"/>
        <v>2.1378959448920609</v>
      </c>
      <c r="AV106" s="1">
        <f t="shared" si="73"/>
        <v>59.4</v>
      </c>
      <c r="AW106" s="133">
        <f t="shared" si="74"/>
        <v>96.525887159342318</v>
      </c>
    </row>
    <row r="107" spans="17:49" x14ac:dyDescent="0.25">
      <c r="Q107">
        <v>100</v>
      </c>
      <c r="R107" s="132">
        <f t="shared" si="46"/>
        <v>18</v>
      </c>
      <c r="S107" s="1">
        <f t="shared" si="47"/>
        <v>3.3333333333333335</v>
      </c>
      <c r="T107" s="1">
        <f t="shared" si="76"/>
        <v>12</v>
      </c>
      <c r="U107" s="133">
        <f t="shared" si="77"/>
        <v>5</v>
      </c>
      <c r="V107" s="132">
        <f>IF(Calculations!$B$17=3,2,IF((S107*R107/T107)&lt;((T107*(1-(T107/R107)))/(2*Lm*fsw)),1,2))</f>
        <v>2</v>
      </c>
      <c r="W107" s="1">
        <f t="shared" si="78"/>
        <v>0.33333333333333337</v>
      </c>
      <c r="X107" s="133">
        <f t="shared" si="79"/>
        <v>0.66666666666666663</v>
      </c>
      <c r="Y107" s="132">
        <f t="shared" si="80"/>
        <v>1.6</v>
      </c>
      <c r="Z107" s="1">
        <f t="shared" si="63"/>
        <v>5.8</v>
      </c>
      <c r="AA107" s="1">
        <f t="shared" si="64"/>
        <v>5.0212880153734796</v>
      </c>
      <c r="AB107" s="1">
        <v>0</v>
      </c>
      <c r="AC107" s="1">
        <f t="shared" si="81"/>
        <v>0.41602000000000011</v>
      </c>
      <c r="AD107" s="133">
        <f t="shared" si="65"/>
        <v>0.41602000000000011</v>
      </c>
      <c r="AE107" s="132">
        <f t="shared" si="75"/>
        <v>1.666666666666667</v>
      </c>
      <c r="AF107" s="1">
        <f t="shared" si="66"/>
        <v>2.8990419873545199</v>
      </c>
      <c r="AG107" s="1">
        <f t="shared" si="82"/>
        <v>0.16808888888888887</v>
      </c>
      <c r="AH107" s="1">
        <f t="shared" si="83"/>
        <v>0.28539109837567961</v>
      </c>
      <c r="AI107" s="133">
        <f t="shared" si="67"/>
        <v>0.45347998726456851</v>
      </c>
      <c r="AJ107" s="132">
        <f t="shared" si="68"/>
        <v>3.333333333333333</v>
      </c>
      <c r="AK107" s="1">
        <f t="shared" si="69"/>
        <v>4.0998644964058126</v>
      </c>
      <c r="AL107" s="1">
        <f t="shared" si="84"/>
        <v>0.33617777777777774</v>
      </c>
      <c r="AM107" s="1">
        <f t="shared" si="91"/>
        <v>0.15427500000000002</v>
      </c>
      <c r="AN107" s="136">
        <f t="shared" si="85"/>
        <v>8.1199999999999994E-2</v>
      </c>
      <c r="AO107" s="133">
        <f t="shared" si="71"/>
        <v>0.57165277777777779</v>
      </c>
      <c r="AP107" s="132">
        <f t="shared" si="86"/>
        <v>0.16514733333333334</v>
      </c>
      <c r="AQ107" s="137">
        <f t="shared" si="87"/>
        <v>0.41602000000000011</v>
      </c>
      <c r="AR107" s="137">
        <f t="shared" si="88"/>
        <v>4.147588250013759E-2</v>
      </c>
      <c r="AS107" s="1">
        <f t="shared" si="89"/>
        <v>5.9279999999999999E-2</v>
      </c>
      <c r="AT107" s="133">
        <f t="shared" si="90"/>
        <v>4.8000000000000001E-2</v>
      </c>
      <c r="AU107" s="132">
        <f t="shared" si="72"/>
        <v>2.1710759808758175</v>
      </c>
      <c r="AV107" s="1">
        <f t="shared" si="73"/>
        <v>60</v>
      </c>
      <c r="AW107" s="133">
        <f t="shared" si="74"/>
        <v>96.50790026290737</v>
      </c>
    </row>
    <row r="108" spans="17:49" x14ac:dyDescent="0.25">
      <c r="Q108">
        <v>101</v>
      </c>
      <c r="R108" s="132">
        <f t="shared" si="46"/>
        <v>18</v>
      </c>
      <c r="S108" s="1">
        <f t="shared" si="47"/>
        <v>3.3666666666666667</v>
      </c>
      <c r="T108" s="1">
        <f t="shared" si="76"/>
        <v>12</v>
      </c>
      <c r="U108" s="133">
        <f t="shared" si="77"/>
        <v>5.05</v>
      </c>
      <c r="V108" s="132">
        <f>IF(Calculations!$B$17=3,2,IF((S108*R108/T108)&lt;((T108*(1-(T108/R108)))/(2*Lm*fsw)),1,2))</f>
        <v>2</v>
      </c>
      <c r="W108" s="1">
        <f t="shared" si="78"/>
        <v>0.33333333333333337</v>
      </c>
      <c r="X108" s="133">
        <f t="shared" si="79"/>
        <v>0.66666666666666663</v>
      </c>
      <c r="Y108" s="132">
        <f t="shared" si="80"/>
        <v>1.6</v>
      </c>
      <c r="Z108" s="1">
        <f t="shared" si="63"/>
        <v>5.85</v>
      </c>
      <c r="AA108" s="1">
        <f t="shared" si="64"/>
        <v>5.0710781233711373</v>
      </c>
      <c r="AB108" s="1">
        <v>0</v>
      </c>
      <c r="AC108" s="1">
        <f t="shared" si="81"/>
        <v>0.42431125000000008</v>
      </c>
      <c r="AD108" s="133">
        <f t="shared" si="65"/>
        <v>0.42431125000000008</v>
      </c>
      <c r="AE108" s="132">
        <f t="shared" si="75"/>
        <v>1.6833333333333336</v>
      </c>
      <c r="AF108" s="1">
        <f t="shared" si="66"/>
        <v>2.9277883196099483</v>
      </c>
      <c r="AG108" s="1">
        <f t="shared" si="82"/>
        <v>0.17143888888888889</v>
      </c>
      <c r="AH108" s="1">
        <f t="shared" si="83"/>
        <v>0.28824500935943637</v>
      </c>
      <c r="AI108" s="133">
        <f t="shared" si="67"/>
        <v>0.45968389824832523</v>
      </c>
      <c r="AJ108" s="132">
        <f t="shared" si="68"/>
        <v>3.3666666666666663</v>
      </c>
      <c r="AK108" s="1">
        <f t="shared" si="69"/>
        <v>4.1405179493499222</v>
      </c>
      <c r="AL108" s="1">
        <f t="shared" si="84"/>
        <v>0.34287777777777773</v>
      </c>
      <c r="AM108" s="1">
        <f t="shared" si="91"/>
        <v>0.15427500000000002</v>
      </c>
      <c r="AN108" s="136">
        <f t="shared" si="85"/>
        <v>8.1900000000000001E-2</v>
      </c>
      <c r="AO108" s="133">
        <f t="shared" si="71"/>
        <v>0.57905277777777775</v>
      </c>
      <c r="AP108" s="132">
        <f t="shared" si="86"/>
        <v>0.16843870833333333</v>
      </c>
      <c r="AQ108" s="137">
        <f t="shared" si="87"/>
        <v>0.42431125000000008</v>
      </c>
      <c r="AR108" s="137">
        <f t="shared" si="88"/>
        <v>4.147588250013759E-2</v>
      </c>
      <c r="AS108" s="1">
        <f t="shared" si="89"/>
        <v>5.9279999999999999E-2</v>
      </c>
      <c r="AT108" s="133">
        <f t="shared" si="90"/>
        <v>4.8000000000000001E-2</v>
      </c>
      <c r="AU108" s="132">
        <f t="shared" si="72"/>
        <v>2.2045537668595738</v>
      </c>
      <c r="AV108" s="1">
        <f t="shared" si="73"/>
        <v>60.6</v>
      </c>
      <c r="AW108" s="133">
        <f t="shared" si="74"/>
        <v>96.489818596525296</v>
      </c>
    </row>
    <row r="109" spans="17:49" x14ac:dyDescent="0.25">
      <c r="Q109">
        <v>102</v>
      </c>
      <c r="R109" s="132">
        <f t="shared" si="46"/>
        <v>18</v>
      </c>
      <c r="S109" s="1">
        <f t="shared" si="47"/>
        <v>3.4</v>
      </c>
      <c r="T109" s="1">
        <f t="shared" si="76"/>
        <v>12</v>
      </c>
      <c r="U109" s="133">
        <f t="shared" si="77"/>
        <v>5.0999999999999996</v>
      </c>
      <c r="V109" s="132">
        <f>IF(Calculations!$B$17=3,2,IF((S109*R109/T109)&lt;((T109*(1-(T109/R109)))/(2*Lm*fsw)),1,2))</f>
        <v>2</v>
      </c>
      <c r="W109" s="1">
        <f t="shared" si="78"/>
        <v>0.33333333333333337</v>
      </c>
      <c r="X109" s="133">
        <f t="shared" si="79"/>
        <v>0.66666666666666663</v>
      </c>
      <c r="Y109" s="132">
        <f t="shared" si="80"/>
        <v>1.6</v>
      </c>
      <c r="Z109" s="1">
        <f t="shared" si="63"/>
        <v>5.8999999999999995</v>
      </c>
      <c r="AA109" s="1">
        <f t="shared" si="64"/>
        <v>5.120872321522314</v>
      </c>
      <c r="AB109" s="1">
        <v>0</v>
      </c>
      <c r="AC109" s="1">
        <f t="shared" si="81"/>
        <v>0.43268499999999999</v>
      </c>
      <c r="AD109" s="133">
        <f t="shared" si="65"/>
        <v>0.43268499999999999</v>
      </c>
      <c r="AE109" s="132">
        <f t="shared" si="75"/>
        <v>1.7000000000000002</v>
      </c>
      <c r="AF109" s="1">
        <f t="shared" si="66"/>
        <v>2.9565370133166118</v>
      </c>
      <c r="AG109" s="1">
        <f t="shared" si="82"/>
        <v>0.17482222222222224</v>
      </c>
      <c r="AH109" s="1">
        <f t="shared" si="83"/>
        <v>0.29109892034319318</v>
      </c>
      <c r="AI109" s="133">
        <f t="shared" si="67"/>
        <v>0.46592114256541539</v>
      </c>
      <c r="AJ109" s="132">
        <f t="shared" si="68"/>
        <v>3.3999999999999995</v>
      </c>
      <c r="AK109" s="1">
        <f t="shared" si="69"/>
        <v>4.1811747418903957</v>
      </c>
      <c r="AL109" s="1">
        <f t="shared" si="84"/>
        <v>0.34964444444444431</v>
      </c>
      <c r="AM109" s="1">
        <f t="shared" si="91"/>
        <v>0.15427500000000002</v>
      </c>
      <c r="AN109" s="136">
        <f t="shared" si="85"/>
        <v>8.2599999999999993E-2</v>
      </c>
      <c r="AO109" s="133">
        <f t="shared" si="71"/>
        <v>0.58651944444444437</v>
      </c>
      <c r="AP109" s="132">
        <f t="shared" si="86"/>
        <v>0.17176283333333331</v>
      </c>
      <c r="AQ109" s="137">
        <f t="shared" si="87"/>
        <v>0.43268499999999999</v>
      </c>
      <c r="AR109" s="137">
        <f t="shared" si="88"/>
        <v>4.147588250013759E-2</v>
      </c>
      <c r="AS109" s="1">
        <f t="shared" si="89"/>
        <v>5.9279999999999999E-2</v>
      </c>
      <c r="AT109" s="133">
        <f t="shared" si="90"/>
        <v>4.8000000000000001E-2</v>
      </c>
      <c r="AU109" s="132">
        <f t="shared" si="72"/>
        <v>2.2383293028433306</v>
      </c>
      <c r="AV109" s="1">
        <f t="shared" si="73"/>
        <v>61.199999999999996</v>
      </c>
      <c r="AW109" s="133">
        <f t="shared" si="74"/>
        <v>96.471645253837082</v>
      </c>
    </row>
    <row r="110" spans="17:49" x14ac:dyDescent="0.25">
      <c r="Q110">
        <v>103</v>
      </c>
      <c r="R110" s="132">
        <f t="shared" si="46"/>
        <v>18</v>
      </c>
      <c r="S110" s="1">
        <f t="shared" si="47"/>
        <v>3.4333333333333331</v>
      </c>
      <c r="T110" s="1">
        <f t="shared" si="76"/>
        <v>12</v>
      </c>
      <c r="U110" s="133">
        <f t="shared" si="77"/>
        <v>5.1499999999999995</v>
      </c>
      <c r="V110" s="132">
        <f>IF(Calculations!$B$17=3,2,IF((S110*R110/T110)&lt;((T110*(1-(T110/R110)))/(2*Lm*fsw)),1,2))</f>
        <v>2</v>
      </c>
      <c r="W110" s="1">
        <f t="shared" si="78"/>
        <v>0.33333333333333337</v>
      </c>
      <c r="X110" s="133">
        <f t="shared" si="79"/>
        <v>0.66666666666666663</v>
      </c>
      <c r="Y110" s="132">
        <f t="shared" si="80"/>
        <v>1.6</v>
      </c>
      <c r="Z110" s="1">
        <f t="shared" si="63"/>
        <v>5.9499999999999993</v>
      </c>
      <c r="AA110" s="1">
        <f t="shared" si="64"/>
        <v>5.170670491660954</v>
      </c>
      <c r="AB110" s="1">
        <v>0</v>
      </c>
      <c r="AC110" s="1">
        <f t="shared" si="81"/>
        <v>0.44114124999999998</v>
      </c>
      <c r="AD110" s="133">
        <f t="shared" si="65"/>
        <v>0.44114124999999998</v>
      </c>
      <c r="AE110" s="132">
        <f t="shared" si="75"/>
        <v>1.7166666666666668</v>
      </c>
      <c r="AF110" s="1">
        <f t="shared" si="66"/>
        <v>2.9852880002513063</v>
      </c>
      <c r="AG110" s="1">
        <f t="shared" si="82"/>
        <v>0.17823888888888884</v>
      </c>
      <c r="AH110" s="1">
        <f t="shared" si="83"/>
        <v>0.29395283132694994</v>
      </c>
      <c r="AI110" s="133">
        <f t="shared" si="67"/>
        <v>0.47219172021583877</v>
      </c>
      <c r="AJ110" s="132">
        <f t="shared" si="68"/>
        <v>3.4333333333333327</v>
      </c>
      <c r="AK110" s="1">
        <f t="shared" si="69"/>
        <v>4.2218347775450527</v>
      </c>
      <c r="AL110" s="1">
        <f t="shared" si="84"/>
        <v>0.35647777777777767</v>
      </c>
      <c r="AM110" s="1">
        <f t="shared" si="91"/>
        <v>0.15427500000000002</v>
      </c>
      <c r="AN110" s="136">
        <f t="shared" si="85"/>
        <v>8.3299999999999985E-2</v>
      </c>
      <c r="AO110" s="133">
        <f t="shared" si="71"/>
        <v>0.59405277777777776</v>
      </c>
      <c r="AP110" s="132">
        <f t="shared" si="86"/>
        <v>0.17511970833333332</v>
      </c>
      <c r="AQ110" s="137">
        <f t="shared" si="87"/>
        <v>0.44114124999999998</v>
      </c>
      <c r="AR110" s="137">
        <f t="shared" si="88"/>
        <v>4.147588250013759E-2</v>
      </c>
      <c r="AS110" s="1">
        <f t="shared" si="89"/>
        <v>5.9279999999999999E-2</v>
      </c>
      <c r="AT110" s="133">
        <f t="shared" si="90"/>
        <v>4.8000000000000001E-2</v>
      </c>
      <c r="AU110" s="132">
        <f t="shared" si="72"/>
        <v>2.2724025888270876</v>
      </c>
      <c r="AV110" s="1">
        <f t="shared" si="73"/>
        <v>61.8</v>
      </c>
      <c r="AW110" s="133">
        <f t="shared" si="74"/>
        <v>96.453383208665016</v>
      </c>
    </row>
    <row r="111" spans="17:49" x14ac:dyDescent="0.25">
      <c r="Q111">
        <v>104</v>
      </c>
      <c r="R111" s="132">
        <f t="shared" si="46"/>
        <v>18</v>
      </c>
      <c r="S111" s="1">
        <f t="shared" si="47"/>
        <v>3.4666666666666668</v>
      </c>
      <c r="T111" s="1">
        <f t="shared" si="76"/>
        <v>12</v>
      </c>
      <c r="U111" s="133">
        <f t="shared" si="77"/>
        <v>5.2</v>
      </c>
      <c r="V111" s="132">
        <f>IF(Calculations!$B$17=3,2,IF((S111*R111/T111)&lt;((T111*(1-(T111/R111)))/(2*Lm*fsw)),1,2))</f>
        <v>2</v>
      </c>
      <c r="W111" s="1">
        <f t="shared" si="78"/>
        <v>0.33333333333333337</v>
      </c>
      <c r="X111" s="133">
        <f t="shared" si="79"/>
        <v>0.66666666666666663</v>
      </c>
      <c r="Y111" s="132">
        <f t="shared" si="80"/>
        <v>1.6</v>
      </c>
      <c r="Z111" s="1">
        <f t="shared" si="63"/>
        <v>6</v>
      </c>
      <c r="AA111" s="1">
        <f t="shared" si="64"/>
        <v>5.2204725201205049</v>
      </c>
      <c r="AB111" s="1">
        <v>0</v>
      </c>
      <c r="AC111" s="1">
        <f t="shared" si="81"/>
        <v>0.44968000000000002</v>
      </c>
      <c r="AD111" s="133">
        <f t="shared" si="65"/>
        <v>0.44968000000000002</v>
      </c>
      <c r="AE111" s="132">
        <f t="shared" si="75"/>
        <v>1.7333333333333336</v>
      </c>
      <c r="AF111" s="1">
        <f t="shared" si="66"/>
        <v>3.0140412147886173</v>
      </c>
      <c r="AG111" s="1">
        <f t="shared" si="82"/>
        <v>0.18168888888888887</v>
      </c>
      <c r="AH111" s="1">
        <f t="shared" si="83"/>
        <v>0.29680674231070681</v>
      </c>
      <c r="AI111" s="133">
        <f t="shared" si="67"/>
        <v>0.47849563119959571</v>
      </c>
      <c r="AJ111" s="132">
        <f t="shared" si="68"/>
        <v>3.4666666666666668</v>
      </c>
      <c r="AK111" s="1">
        <f t="shared" si="69"/>
        <v>4.2624979635055409</v>
      </c>
      <c r="AL111" s="1">
        <f t="shared" si="84"/>
        <v>0.36337777777777769</v>
      </c>
      <c r="AM111" s="1">
        <f t="shared" si="91"/>
        <v>0.15427500000000002</v>
      </c>
      <c r="AN111" s="136">
        <f t="shared" si="85"/>
        <v>8.4000000000000005E-2</v>
      </c>
      <c r="AO111" s="133">
        <f t="shared" si="71"/>
        <v>0.6016527777777777</v>
      </c>
      <c r="AP111" s="132">
        <f t="shared" si="86"/>
        <v>0.17850933333333333</v>
      </c>
      <c r="AQ111" s="137">
        <f t="shared" si="87"/>
        <v>0.44968000000000002</v>
      </c>
      <c r="AR111" s="137">
        <f t="shared" si="88"/>
        <v>4.147588250013759E-2</v>
      </c>
      <c r="AS111" s="1">
        <f t="shared" si="89"/>
        <v>5.9279999999999999E-2</v>
      </c>
      <c r="AT111" s="133">
        <f t="shared" si="90"/>
        <v>4.8000000000000001E-2</v>
      </c>
      <c r="AU111" s="132">
        <f t="shared" si="72"/>
        <v>2.3067736248108441</v>
      </c>
      <c r="AV111" s="1">
        <f t="shared" si="73"/>
        <v>62.400000000000006</v>
      </c>
      <c r="AW111" s="133">
        <f t="shared" si="74"/>
        <v>96.435035320743694</v>
      </c>
    </row>
    <row r="112" spans="17:49" x14ac:dyDescent="0.25">
      <c r="Q112">
        <v>105</v>
      </c>
      <c r="R112" s="132">
        <f t="shared" si="46"/>
        <v>18</v>
      </c>
      <c r="S112" s="1">
        <f t="shared" si="47"/>
        <v>3.5</v>
      </c>
      <c r="T112" s="1">
        <f t="shared" si="76"/>
        <v>12</v>
      </c>
      <c r="U112" s="133">
        <f t="shared" si="77"/>
        <v>5.25</v>
      </c>
      <c r="V112" s="132">
        <f>IF(Calculations!$B$17=3,2,IF((S112*R112/T112)&lt;((T112*(1-(T112/R112)))/(2*Lm*fsw)),1,2))</f>
        <v>2</v>
      </c>
      <c r="W112" s="1">
        <f t="shared" si="78"/>
        <v>0.33333333333333337</v>
      </c>
      <c r="X112" s="133">
        <f t="shared" si="79"/>
        <v>0.66666666666666663</v>
      </c>
      <c r="Y112" s="132">
        <f t="shared" si="80"/>
        <v>1.6</v>
      </c>
      <c r="Z112" s="1">
        <f t="shared" si="63"/>
        <v>6.05</v>
      </c>
      <c r="AA112" s="1">
        <f t="shared" si="64"/>
        <v>5.270278297522184</v>
      </c>
      <c r="AB112" s="1">
        <v>0</v>
      </c>
      <c r="AC112" s="1">
        <f t="shared" si="81"/>
        <v>0.45830124999999999</v>
      </c>
      <c r="AD112" s="133">
        <f t="shared" si="65"/>
        <v>0.45830124999999999</v>
      </c>
      <c r="AE112" s="132">
        <f t="shared" si="75"/>
        <v>1.7500000000000002</v>
      </c>
      <c r="AF112" s="1">
        <f t="shared" si="66"/>
        <v>3.0427965937786756</v>
      </c>
      <c r="AG112" s="1">
        <f t="shared" si="82"/>
        <v>0.18517222222222224</v>
      </c>
      <c r="AH112" s="1">
        <f t="shared" si="83"/>
        <v>0.29966065329446356</v>
      </c>
      <c r="AI112" s="133">
        <f t="shared" si="67"/>
        <v>0.4848328755166858</v>
      </c>
      <c r="AJ112" s="132">
        <f t="shared" si="68"/>
        <v>3.5</v>
      </c>
      <c r="AK112" s="1">
        <f t="shared" si="69"/>
        <v>4.3031642104644598</v>
      </c>
      <c r="AL112" s="1">
        <f t="shared" si="84"/>
        <v>0.37034444444444442</v>
      </c>
      <c r="AM112" s="1">
        <f t="shared" si="91"/>
        <v>0.15427500000000002</v>
      </c>
      <c r="AN112" s="136">
        <f t="shared" si="85"/>
        <v>8.4699999999999998E-2</v>
      </c>
      <c r="AO112" s="133">
        <f t="shared" si="71"/>
        <v>0.60931944444444441</v>
      </c>
      <c r="AP112" s="132">
        <f t="shared" si="86"/>
        <v>0.1819317083333333</v>
      </c>
      <c r="AQ112" s="137">
        <f t="shared" si="87"/>
        <v>0.45830124999999999</v>
      </c>
      <c r="AR112" s="137">
        <f t="shared" si="88"/>
        <v>4.147588250013759E-2</v>
      </c>
      <c r="AS112" s="1">
        <f t="shared" si="89"/>
        <v>5.9279999999999999E-2</v>
      </c>
      <c r="AT112" s="133">
        <f t="shared" si="90"/>
        <v>4.8000000000000001E-2</v>
      </c>
      <c r="AU112" s="132">
        <f t="shared" si="72"/>
        <v>2.3414424107946012</v>
      </c>
      <c r="AV112" s="1">
        <f t="shared" si="73"/>
        <v>63</v>
      </c>
      <c r="AW112" s="133">
        <f t="shared" si="74"/>
        <v>96.416604341125193</v>
      </c>
    </row>
    <row r="113" spans="17:49" x14ac:dyDescent="0.25">
      <c r="Q113">
        <v>106</v>
      </c>
      <c r="R113" s="132">
        <f t="shared" si="46"/>
        <v>18</v>
      </c>
      <c r="S113" s="1">
        <f t="shared" si="47"/>
        <v>3.5333333333333332</v>
      </c>
      <c r="T113" s="1">
        <f t="shared" si="76"/>
        <v>12</v>
      </c>
      <c r="U113" s="133">
        <f t="shared" si="77"/>
        <v>5.3</v>
      </c>
      <c r="V113" s="132">
        <f>IF(Calculations!$B$17=3,2,IF((S113*R113/T113)&lt;((T113*(1-(T113/R113)))/(2*Lm*fsw)),1,2))</f>
        <v>2</v>
      </c>
      <c r="W113" s="1">
        <f t="shared" si="78"/>
        <v>0.33333333333333337</v>
      </c>
      <c r="X113" s="133">
        <f t="shared" si="79"/>
        <v>0.66666666666666663</v>
      </c>
      <c r="Y113" s="132">
        <f t="shared" si="80"/>
        <v>1.6</v>
      </c>
      <c r="Z113" s="1">
        <f t="shared" si="63"/>
        <v>6.1</v>
      </c>
      <c r="AA113" s="1">
        <f t="shared" si="64"/>
        <v>5.3200877185750741</v>
      </c>
      <c r="AB113" s="1">
        <v>0</v>
      </c>
      <c r="AC113" s="1">
        <f t="shared" si="81"/>
        <v>0.46700500000000011</v>
      </c>
      <c r="AD113" s="133">
        <f t="shared" si="65"/>
        <v>0.46700500000000011</v>
      </c>
      <c r="AE113" s="132">
        <f t="shared" si="75"/>
        <v>1.7666666666666668</v>
      </c>
      <c r="AF113" s="1">
        <f t="shared" si="66"/>
        <v>3.0715540764317408</v>
      </c>
      <c r="AG113" s="1">
        <f t="shared" si="82"/>
        <v>0.18868888888888891</v>
      </c>
      <c r="AH113" s="1">
        <f t="shared" si="83"/>
        <v>0.30251456427822032</v>
      </c>
      <c r="AI113" s="133">
        <f t="shared" si="67"/>
        <v>0.49120345316710923</v>
      </c>
      <c r="AJ113" s="132">
        <f t="shared" si="68"/>
        <v>3.5333333333333332</v>
      </c>
      <c r="AK113" s="1">
        <f t="shared" si="69"/>
        <v>4.3438334324521337</v>
      </c>
      <c r="AL113" s="1">
        <f t="shared" si="84"/>
        <v>0.37737777777777776</v>
      </c>
      <c r="AM113" s="1">
        <f t="shared" si="91"/>
        <v>0.15427500000000002</v>
      </c>
      <c r="AN113" s="136">
        <f t="shared" si="85"/>
        <v>8.5400000000000004E-2</v>
      </c>
      <c r="AO113" s="133">
        <f t="shared" si="71"/>
        <v>0.61705277777777778</v>
      </c>
      <c r="AP113" s="132">
        <f t="shared" si="86"/>
        <v>0.18538683333333333</v>
      </c>
      <c r="AQ113" s="137">
        <f t="shared" si="87"/>
        <v>0.46700500000000011</v>
      </c>
      <c r="AR113" s="137">
        <f t="shared" si="88"/>
        <v>4.147588250013759E-2</v>
      </c>
      <c r="AS113" s="1">
        <f t="shared" si="89"/>
        <v>5.9279999999999999E-2</v>
      </c>
      <c r="AT113" s="133">
        <f t="shared" si="90"/>
        <v>4.8000000000000001E-2</v>
      </c>
      <c r="AU113" s="132">
        <f t="shared" si="72"/>
        <v>2.376408946778358</v>
      </c>
      <c r="AV113" s="1">
        <f t="shared" si="73"/>
        <v>63.599999999999994</v>
      </c>
      <c r="AW113" s="133">
        <f t="shared" si="74"/>
        <v>96.398092917279953</v>
      </c>
    </row>
    <row r="114" spans="17:49" x14ac:dyDescent="0.25">
      <c r="Q114">
        <v>107</v>
      </c>
      <c r="R114" s="132">
        <f t="shared" si="46"/>
        <v>18</v>
      </c>
      <c r="S114" s="1">
        <f t="shared" si="47"/>
        <v>3.5666666666666664</v>
      </c>
      <c r="T114" s="1">
        <f t="shared" si="76"/>
        <v>12</v>
      </c>
      <c r="U114" s="133">
        <f t="shared" si="77"/>
        <v>5.3499999999999988</v>
      </c>
      <c r="V114" s="132">
        <f>IF(Calculations!$B$17=3,2,IF((S114*R114/T114)&lt;((T114*(1-(T114/R114)))/(2*Lm*fsw)),1,2))</f>
        <v>2</v>
      </c>
      <c r="W114" s="1">
        <f t="shared" si="78"/>
        <v>0.33333333333333337</v>
      </c>
      <c r="X114" s="133">
        <f t="shared" si="79"/>
        <v>0.66666666666666663</v>
      </c>
      <c r="Y114" s="132">
        <f t="shared" si="80"/>
        <v>1.6</v>
      </c>
      <c r="Z114" s="1">
        <f t="shared" si="63"/>
        <v>6.1499999999999986</v>
      </c>
      <c r="AA114" s="1">
        <f t="shared" si="64"/>
        <v>5.3699006818872661</v>
      </c>
      <c r="AB114" s="1">
        <v>0</v>
      </c>
      <c r="AC114" s="1">
        <f t="shared" si="81"/>
        <v>0.47579124999999989</v>
      </c>
      <c r="AD114" s="133">
        <f t="shared" si="65"/>
        <v>0.47579124999999989</v>
      </c>
      <c r="AE114" s="132">
        <f t="shared" si="75"/>
        <v>1.7833333333333332</v>
      </c>
      <c r="AF114" s="1">
        <f t="shared" si="66"/>
        <v>3.1003136042091679</v>
      </c>
      <c r="AG114" s="1">
        <f t="shared" si="82"/>
        <v>0.19223888888888885</v>
      </c>
      <c r="AH114" s="1">
        <f t="shared" si="83"/>
        <v>0.30536847526197713</v>
      </c>
      <c r="AI114" s="133">
        <f t="shared" si="67"/>
        <v>0.49760736415086598</v>
      </c>
      <c r="AJ114" s="132">
        <f t="shared" si="68"/>
        <v>3.5666666666666655</v>
      </c>
      <c r="AK114" s="1">
        <f t="shared" si="69"/>
        <v>4.3845055466824165</v>
      </c>
      <c r="AL114" s="1">
        <f t="shared" si="84"/>
        <v>0.38447777777777753</v>
      </c>
      <c r="AM114" s="1">
        <f t="shared" si="91"/>
        <v>0.15427500000000002</v>
      </c>
      <c r="AN114" s="136">
        <f t="shared" si="85"/>
        <v>8.6099999999999982E-2</v>
      </c>
      <c r="AO114" s="133">
        <f t="shared" si="71"/>
        <v>0.62485277777777748</v>
      </c>
      <c r="AP114" s="132">
        <f t="shared" si="86"/>
        <v>0.18887470833333328</v>
      </c>
      <c r="AQ114" s="137">
        <f t="shared" si="87"/>
        <v>0.47579124999999989</v>
      </c>
      <c r="AR114" s="137">
        <f t="shared" si="88"/>
        <v>4.147588250013759E-2</v>
      </c>
      <c r="AS114" s="1">
        <f t="shared" si="89"/>
        <v>5.9279999999999999E-2</v>
      </c>
      <c r="AT114" s="133">
        <f t="shared" si="90"/>
        <v>4.8000000000000001E-2</v>
      </c>
      <c r="AU114" s="132">
        <f t="shared" si="72"/>
        <v>2.4116732327621144</v>
      </c>
      <c r="AV114" s="1">
        <f t="shared" si="73"/>
        <v>64.199999999999989</v>
      </c>
      <c r="AW114" s="133">
        <f t="shared" si="74"/>
        <v>96.379503597912986</v>
      </c>
    </row>
    <row r="115" spans="17:49" x14ac:dyDescent="0.25">
      <c r="Q115">
        <v>108</v>
      </c>
      <c r="R115" s="132">
        <f t="shared" si="46"/>
        <v>18</v>
      </c>
      <c r="S115" s="1">
        <f t="shared" si="47"/>
        <v>3.6</v>
      </c>
      <c r="T115" s="1">
        <f t="shared" si="76"/>
        <v>12</v>
      </c>
      <c r="U115" s="133">
        <f t="shared" si="77"/>
        <v>5.3999999999999995</v>
      </c>
      <c r="V115" s="132">
        <f>IF(Calculations!$B$17=3,2,IF((S115*R115/T115)&lt;((T115*(1-(T115/R115)))/(2*Lm*fsw)),1,2))</f>
        <v>2</v>
      </c>
      <c r="W115" s="1">
        <f t="shared" si="78"/>
        <v>0.33333333333333337</v>
      </c>
      <c r="X115" s="133">
        <f t="shared" si="79"/>
        <v>0.66666666666666663</v>
      </c>
      <c r="Y115" s="132">
        <f t="shared" si="80"/>
        <v>1.6</v>
      </c>
      <c r="Z115" s="1">
        <f t="shared" si="63"/>
        <v>6.1999999999999993</v>
      </c>
      <c r="AA115" s="1">
        <f t="shared" si="64"/>
        <v>5.4197170897873743</v>
      </c>
      <c r="AB115" s="1">
        <v>0</v>
      </c>
      <c r="AC115" s="1">
        <f t="shared" si="81"/>
        <v>0.48465999999999992</v>
      </c>
      <c r="AD115" s="133">
        <f t="shared" si="65"/>
        <v>0.48465999999999992</v>
      </c>
      <c r="AE115" s="132">
        <f t="shared" si="75"/>
        <v>1.8</v>
      </c>
      <c r="AF115" s="1">
        <f t="shared" si="66"/>
        <v>3.1290751207203558</v>
      </c>
      <c r="AG115" s="1">
        <f t="shared" si="82"/>
        <v>0.19582222222222218</v>
      </c>
      <c r="AH115" s="1">
        <f t="shared" si="83"/>
        <v>0.30822238624573389</v>
      </c>
      <c r="AI115" s="133">
        <f t="shared" si="67"/>
        <v>0.50404460846795607</v>
      </c>
      <c r="AJ115" s="132">
        <f t="shared" si="68"/>
        <v>3.5999999999999996</v>
      </c>
      <c r="AK115" s="1">
        <f t="shared" si="69"/>
        <v>4.4251804734069564</v>
      </c>
      <c r="AL115" s="1">
        <f t="shared" si="84"/>
        <v>0.3916444444444443</v>
      </c>
      <c r="AM115" s="1">
        <f t="shared" si="91"/>
        <v>0.15427500000000002</v>
      </c>
      <c r="AN115" s="136">
        <f t="shared" si="85"/>
        <v>8.6799999999999988E-2</v>
      </c>
      <c r="AO115" s="133">
        <f t="shared" si="71"/>
        <v>0.63271944444444428</v>
      </c>
      <c r="AP115" s="132">
        <f t="shared" si="86"/>
        <v>0.19239533333333328</v>
      </c>
      <c r="AQ115" s="137">
        <f t="shared" si="87"/>
        <v>0.48465999999999992</v>
      </c>
      <c r="AR115" s="137">
        <f t="shared" si="88"/>
        <v>4.147588250013759E-2</v>
      </c>
      <c r="AS115" s="1">
        <f t="shared" si="89"/>
        <v>5.9279999999999999E-2</v>
      </c>
      <c r="AT115" s="133">
        <f t="shared" si="90"/>
        <v>4.8000000000000001E-2</v>
      </c>
      <c r="AU115" s="132">
        <f t="shared" si="72"/>
        <v>2.4472352687458709</v>
      </c>
      <c r="AV115" s="1">
        <f t="shared" si="73"/>
        <v>64.8</v>
      </c>
      <c r="AW115" s="133">
        <f t="shared" si="74"/>
        <v>96.360838837513867</v>
      </c>
    </row>
    <row r="116" spans="17:49" x14ac:dyDescent="0.25">
      <c r="Q116">
        <v>109</v>
      </c>
      <c r="R116" s="132">
        <f t="shared" si="46"/>
        <v>18</v>
      </c>
      <c r="S116" s="1">
        <f t="shared" si="47"/>
        <v>3.6333333333333333</v>
      </c>
      <c r="T116" s="1">
        <f t="shared" si="76"/>
        <v>12</v>
      </c>
      <c r="U116" s="133">
        <f t="shared" si="77"/>
        <v>5.45</v>
      </c>
      <c r="V116" s="132">
        <f>IF(Calculations!$B$17=3,2,IF((S116*R116/T116)&lt;((T116*(1-(T116/R116)))/(2*Lm*fsw)),1,2))</f>
        <v>2</v>
      </c>
      <c r="W116" s="1">
        <f t="shared" si="78"/>
        <v>0.33333333333333337</v>
      </c>
      <c r="X116" s="133">
        <f t="shared" si="79"/>
        <v>0.66666666666666663</v>
      </c>
      <c r="Y116" s="132">
        <f t="shared" si="80"/>
        <v>1.6</v>
      </c>
      <c r="Z116" s="1">
        <f t="shared" si="63"/>
        <v>6.25</v>
      </c>
      <c r="AA116" s="1">
        <f t="shared" si="64"/>
        <v>5.469536848155732</v>
      </c>
      <c r="AB116" s="1">
        <v>0</v>
      </c>
      <c r="AC116" s="1">
        <f t="shared" si="81"/>
        <v>0.49361125000000011</v>
      </c>
      <c r="AD116" s="133">
        <f t="shared" si="65"/>
        <v>0.49361125000000011</v>
      </c>
      <c r="AE116" s="132">
        <f t="shared" si="75"/>
        <v>1.8166666666666669</v>
      </c>
      <c r="AF116" s="1">
        <f t="shared" si="66"/>
        <v>3.1578385716252888</v>
      </c>
      <c r="AG116" s="1">
        <f t="shared" si="82"/>
        <v>0.19943888888888889</v>
      </c>
      <c r="AH116" s="1">
        <f t="shared" si="83"/>
        <v>0.31107629722949082</v>
      </c>
      <c r="AI116" s="133">
        <f t="shared" si="67"/>
        <v>0.51051518611837965</v>
      </c>
      <c r="AJ116" s="132">
        <f t="shared" si="68"/>
        <v>3.6333333333333333</v>
      </c>
      <c r="AK116" s="1">
        <f t="shared" si="69"/>
        <v>4.4658581357773652</v>
      </c>
      <c r="AL116" s="1">
        <f t="shared" si="84"/>
        <v>0.39887777777777772</v>
      </c>
      <c r="AM116" s="1">
        <f t="shared" si="91"/>
        <v>0.15427500000000002</v>
      </c>
      <c r="AN116" s="136">
        <f t="shared" si="85"/>
        <v>8.7500000000000008E-2</v>
      </c>
      <c r="AO116" s="133">
        <f t="shared" si="71"/>
        <v>0.64065277777777774</v>
      </c>
      <c r="AP116" s="132">
        <f t="shared" si="86"/>
        <v>0.19594870833333336</v>
      </c>
      <c r="AQ116" s="137">
        <f t="shared" si="87"/>
        <v>0.49361125000000011</v>
      </c>
      <c r="AR116" s="137">
        <f t="shared" si="88"/>
        <v>4.147588250013759E-2</v>
      </c>
      <c r="AS116" s="1">
        <f t="shared" si="89"/>
        <v>5.9279999999999999E-2</v>
      </c>
      <c r="AT116" s="133">
        <f t="shared" si="90"/>
        <v>4.8000000000000001E-2</v>
      </c>
      <c r="AU116" s="132">
        <f t="shared" si="72"/>
        <v>2.4830950547296284</v>
      </c>
      <c r="AV116" s="1">
        <f t="shared" si="73"/>
        <v>65.400000000000006</v>
      </c>
      <c r="AW116" s="133">
        <f t="shared" si="74"/>
        <v>96.342101000657564</v>
      </c>
    </row>
    <row r="117" spans="17:49" x14ac:dyDescent="0.25">
      <c r="Q117">
        <v>110</v>
      </c>
      <c r="R117" s="132">
        <f t="shared" si="46"/>
        <v>18</v>
      </c>
      <c r="S117" s="1">
        <f t="shared" si="47"/>
        <v>3.6666666666666665</v>
      </c>
      <c r="T117" s="1">
        <f t="shared" si="76"/>
        <v>12</v>
      </c>
      <c r="U117" s="133">
        <f t="shared" si="77"/>
        <v>5.5</v>
      </c>
      <c r="V117" s="132">
        <f>IF(Calculations!$B$17=3,2,IF((S117*R117/T117)&lt;((T117*(1-(T117/R117)))/(2*Lm*fsw)),1,2))</f>
        <v>2</v>
      </c>
      <c r="W117" s="1">
        <f t="shared" si="78"/>
        <v>0.33333333333333337</v>
      </c>
      <c r="X117" s="133">
        <f t="shared" si="79"/>
        <v>0.66666666666666663</v>
      </c>
      <c r="Y117" s="132">
        <f t="shared" si="80"/>
        <v>1.6</v>
      </c>
      <c r="Z117" s="1">
        <f t="shared" si="63"/>
        <v>6.3</v>
      </c>
      <c r="AA117" s="1">
        <f t="shared" si="64"/>
        <v>5.5193598662646863</v>
      </c>
      <c r="AB117" s="1">
        <v>0</v>
      </c>
      <c r="AC117" s="1">
        <f t="shared" si="81"/>
        <v>0.50264500000000001</v>
      </c>
      <c r="AD117" s="133">
        <f t="shared" si="65"/>
        <v>0.50264500000000001</v>
      </c>
      <c r="AE117" s="132">
        <f t="shared" si="75"/>
        <v>1.8333333333333335</v>
      </c>
      <c r="AF117" s="1">
        <f t="shared" si="66"/>
        <v>3.1866039045423333</v>
      </c>
      <c r="AG117" s="1">
        <f t="shared" si="82"/>
        <v>0.20308888888888887</v>
      </c>
      <c r="AH117" s="1">
        <f t="shared" si="83"/>
        <v>0.31393020821324757</v>
      </c>
      <c r="AI117" s="133">
        <f t="shared" si="67"/>
        <v>0.51701909710213645</v>
      </c>
      <c r="AJ117" s="132">
        <f t="shared" si="68"/>
        <v>3.6666666666666665</v>
      </c>
      <c r="AK117" s="1">
        <f t="shared" si="69"/>
        <v>4.506538459714827</v>
      </c>
      <c r="AL117" s="1">
        <f t="shared" si="84"/>
        <v>0.40617777777777775</v>
      </c>
      <c r="AM117" s="1">
        <f t="shared" si="91"/>
        <v>0.15427500000000002</v>
      </c>
      <c r="AN117" s="136">
        <f t="shared" si="85"/>
        <v>8.8200000000000001E-2</v>
      </c>
      <c r="AO117" s="133">
        <f t="shared" si="71"/>
        <v>0.64865277777777774</v>
      </c>
      <c r="AP117" s="132">
        <f t="shared" si="86"/>
        <v>0.19953483333333333</v>
      </c>
      <c r="AQ117" s="137">
        <f t="shared" si="87"/>
        <v>0.50264500000000001</v>
      </c>
      <c r="AR117" s="137">
        <f t="shared" si="88"/>
        <v>4.147588250013759E-2</v>
      </c>
      <c r="AS117" s="1">
        <f t="shared" si="89"/>
        <v>5.9279999999999999E-2</v>
      </c>
      <c r="AT117" s="133">
        <f t="shared" si="90"/>
        <v>4.8000000000000001E-2</v>
      </c>
      <c r="AU117" s="132">
        <f t="shared" si="72"/>
        <v>2.5192525907133851</v>
      </c>
      <c r="AV117" s="1">
        <f t="shared" si="73"/>
        <v>66</v>
      </c>
      <c r="AW117" s="133">
        <f t="shared" si="74"/>
        <v>96.323292366071684</v>
      </c>
    </row>
    <row r="118" spans="17:49" x14ac:dyDescent="0.25">
      <c r="Q118">
        <v>111</v>
      </c>
      <c r="R118" s="132">
        <f t="shared" si="46"/>
        <v>18</v>
      </c>
      <c r="S118" s="1">
        <f t="shared" si="47"/>
        <v>3.6999999999999997</v>
      </c>
      <c r="T118" s="1">
        <f t="shared" si="76"/>
        <v>12</v>
      </c>
      <c r="U118" s="133">
        <f t="shared" si="77"/>
        <v>5.55</v>
      </c>
      <c r="V118" s="132">
        <f>IF(Calculations!$B$17=3,2,IF((S118*R118/T118)&lt;((T118*(1-(T118/R118)))/(2*Lm*fsw)),1,2))</f>
        <v>2</v>
      </c>
      <c r="W118" s="1">
        <f t="shared" si="78"/>
        <v>0.33333333333333337</v>
      </c>
      <c r="X118" s="133">
        <f t="shared" si="79"/>
        <v>0.66666666666666663</v>
      </c>
      <c r="Y118" s="132">
        <f t="shared" si="80"/>
        <v>1.6</v>
      </c>
      <c r="Z118" s="1">
        <f t="shared" si="63"/>
        <v>6.35</v>
      </c>
      <c r="AA118" s="1">
        <f t="shared" si="64"/>
        <v>5.5691860566274256</v>
      </c>
      <c r="AB118" s="1">
        <v>0</v>
      </c>
      <c r="AC118" s="1">
        <f t="shared" si="81"/>
        <v>0.51176125000000006</v>
      </c>
      <c r="AD118" s="133">
        <f t="shared" si="65"/>
        <v>0.51176125000000006</v>
      </c>
      <c r="AE118" s="132">
        <f t="shared" si="75"/>
        <v>1.85</v>
      </c>
      <c r="AF118" s="1">
        <f t="shared" si="66"/>
        <v>3.2153710689609545</v>
      </c>
      <c r="AG118" s="1">
        <f t="shared" si="82"/>
        <v>0.20677222222222225</v>
      </c>
      <c r="AH118" s="1">
        <f t="shared" si="83"/>
        <v>0.31678411919700428</v>
      </c>
      <c r="AI118" s="133">
        <f t="shared" si="67"/>
        <v>0.52355634141922658</v>
      </c>
      <c r="AJ118" s="132">
        <f t="shared" si="68"/>
        <v>3.6999999999999997</v>
      </c>
      <c r="AK118" s="1">
        <f t="shared" si="69"/>
        <v>4.547221373786658</v>
      </c>
      <c r="AL118" s="1">
        <f t="shared" si="84"/>
        <v>0.41354444444444449</v>
      </c>
      <c r="AM118" s="1">
        <f t="shared" si="91"/>
        <v>0.15427500000000002</v>
      </c>
      <c r="AN118" s="136">
        <f t="shared" si="85"/>
        <v>8.8899999999999993E-2</v>
      </c>
      <c r="AO118" s="133">
        <f t="shared" si="71"/>
        <v>0.65671944444444452</v>
      </c>
      <c r="AP118" s="132">
        <f t="shared" si="86"/>
        <v>0.20315370833333335</v>
      </c>
      <c r="AQ118" s="137">
        <f t="shared" si="87"/>
        <v>0.51176125000000006</v>
      </c>
      <c r="AR118" s="137">
        <f t="shared" si="88"/>
        <v>4.147588250013759E-2</v>
      </c>
      <c r="AS118" s="1">
        <f t="shared" si="89"/>
        <v>5.9279999999999999E-2</v>
      </c>
      <c r="AT118" s="133">
        <f t="shared" si="90"/>
        <v>4.8000000000000001E-2</v>
      </c>
      <c r="AU118" s="132">
        <f t="shared" si="72"/>
        <v>2.5557078766971419</v>
      </c>
      <c r="AV118" s="1">
        <f t="shared" si="73"/>
        <v>66.599999999999994</v>
      </c>
      <c r="AW118" s="133">
        <f t="shared" si="74"/>
        <v>96.304415130485097</v>
      </c>
    </row>
    <row r="119" spans="17:49" x14ac:dyDescent="0.25">
      <c r="Q119">
        <v>112</v>
      </c>
      <c r="R119" s="132">
        <f t="shared" si="46"/>
        <v>18</v>
      </c>
      <c r="S119" s="1">
        <f t="shared" si="47"/>
        <v>3.7333333333333334</v>
      </c>
      <c r="T119" s="1">
        <f t="shared" si="76"/>
        <v>12</v>
      </c>
      <c r="U119" s="133">
        <f t="shared" si="77"/>
        <v>5.6000000000000005</v>
      </c>
      <c r="V119" s="132">
        <f>IF(Calculations!$B$17=3,2,IF((S119*R119/T119)&lt;((T119*(1-(T119/R119)))/(2*Lm*fsw)),1,2))</f>
        <v>2</v>
      </c>
      <c r="W119" s="1">
        <f t="shared" si="78"/>
        <v>0.33333333333333337</v>
      </c>
      <c r="X119" s="133">
        <f t="shared" si="79"/>
        <v>0.66666666666666663</v>
      </c>
      <c r="Y119" s="132">
        <f t="shared" si="80"/>
        <v>1.6</v>
      </c>
      <c r="Z119" s="1">
        <f t="shared" si="63"/>
        <v>6.4</v>
      </c>
      <c r="AA119" s="1">
        <f t="shared" si="64"/>
        <v>5.6190153348547947</v>
      </c>
      <c r="AB119" s="1">
        <v>0</v>
      </c>
      <c r="AC119" s="1">
        <f t="shared" si="81"/>
        <v>0.5209600000000002</v>
      </c>
      <c r="AD119" s="133">
        <f t="shared" si="65"/>
        <v>0.5209600000000002</v>
      </c>
      <c r="AE119" s="132">
        <f t="shared" si="75"/>
        <v>1.8666666666666671</v>
      </c>
      <c r="AF119" s="1">
        <f t="shared" si="66"/>
        <v>3.2441400161590508</v>
      </c>
      <c r="AG119" s="1">
        <f t="shared" si="82"/>
        <v>0.21048888888888895</v>
      </c>
      <c r="AH119" s="1">
        <f t="shared" si="83"/>
        <v>0.3196380301807612</v>
      </c>
      <c r="AI119" s="133">
        <f t="shared" si="67"/>
        <v>0.53012691906965015</v>
      </c>
      <c r="AJ119" s="132">
        <f t="shared" si="68"/>
        <v>3.7333333333333334</v>
      </c>
      <c r="AK119" s="1">
        <f t="shared" si="69"/>
        <v>4.5879068090894011</v>
      </c>
      <c r="AL119" s="1">
        <f t="shared" si="84"/>
        <v>0.42097777777777778</v>
      </c>
      <c r="AM119" s="1">
        <f t="shared" si="91"/>
        <v>0.15427500000000002</v>
      </c>
      <c r="AN119" s="136">
        <f t="shared" si="85"/>
        <v>8.9600000000000013E-2</v>
      </c>
      <c r="AO119" s="133">
        <f t="shared" si="71"/>
        <v>0.66485277777777785</v>
      </c>
      <c r="AP119" s="132">
        <f t="shared" si="86"/>
        <v>0.20680533333333337</v>
      </c>
      <c r="AQ119" s="137">
        <f t="shared" si="87"/>
        <v>0.5209600000000002</v>
      </c>
      <c r="AR119" s="137">
        <f t="shared" si="88"/>
        <v>4.147588250013759E-2</v>
      </c>
      <c r="AS119" s="1">
        <f t="shared" si="89"/>
        <v>5.9279999999999999E-2</v>
      </c>
      <c r="AT119" s="133">
        <f t="shared" si="90"/>
        <v>4.8000000000000001E-2</v>
      </c>
      <c r="AU119" s="132">
        <f t="shared" si="72"/>
        <v>2.5924609126808988</v>
      </c>
      <c r="AV119" s="1">
        <f t="shared" si="73"/>
        <v>67.2</v>
      </c>
      <c r="AW119" s="133">
        <f t="shared" si="74"/>
        <v>96.285471412271335</v>
      </c>
    </row>
    <row r="120" spans="17:49" x14ac:dyDescent="0.25">
      <c r="Q120">
        <v>113</v>
      </c>
      <c r="R120" s="132">
        <f t="shared" si="46"/>
        <v>18</v>
      </c>
      <c r="S120" s="1">
        <f t="shared" si="47"/>
        <v>3.7666666666666666</v>
      </c>
      <c r="T120" s="1">
        <f t="shared" si="76"/>
        <v>12</v>
      </c>
      <c r="U120" s="133">
        <f t="shared" si="77"/>
        <v>5.6499999999999995</v>
      </c>
      <c r="V120" s="132">
        <f>IF(Calculations!$B$17=3,2,IF((S120*R120/T120)&lt;((T120*(1-(T120/R120)))/(2*Lm*fsw)),1,2))</f>
        <v>2</v>
      </c>
      <c r="W120" s="1">
        <f t="shared" si="78"/>
        <v>0.33333333333333337</v>
      </c>
      <c r="X120" s="133">
        <f t="shared" si="79"/>
        <v>0.66666666666666663</v>
      </c>
      <c r="Y120" s="132">
        <f t="shared" si="80"/>
        <v>1.6</v>
      </c>
      <c r="Z120" s="1">
        <f t="shared" si="63"/>
        <v>6.4499999999999993</v>
      </c>
      <c r="AA120" s="1">
        <f t="shared" si="64"/>
        <v>5.6688476195196253</v>
      </c>
      <c r="AB120" s="1">
        <v>0</v>
      </c>
      <c r="AC120" s="1">
        <f t="shared" si="81"/>
        <v>0.53024124999999989</v>
      </c>
      <c r="AD120" s="133">
        <f t="shared" si="65"/>
        <v>0.53024124999999989</v>
      </c>
      <c r="AE120" s="132">
        <f t="shared" si="75"/>
        <v>1.8833333333333333</v>
      </c>
      <c r="AF120" s="1">
        <f t="shared" si="66"/>
        <v>3.2729106991246253</v>
      </c>
      <c r="AG120" s="1">
        <f t="shared" si="82"/>
        <v>0.21423888888888887</v>
      </c>
      <c r="AH120" s="1">
        <f t="shared" si="83"/>
        <v>0.3224919411645179</v>
      </c>
      <c r="AI120" s="133">
        <f t="shared" si="67"/>
        <v>0.53673083005340683</v>
      </c>
      <c r="AJ120" s="132">
        <f t="shared" si="68"/>
        <v>3.7666666666666662</v>
      </c>
      <c r="AK120" s="1">
        <f t="shared" si="69"/>
        <v>4.6285946991380529</v>
      </c>
      <c r="AL120" s="1">
        <f t="shared" si="84"/>
        <v>0.42847777777777768</v>
      </c>
      <c r="AM120" s="1">
        <f t="shared" si="91"/>
        <v>0.15427500000000002</v>
      </c>
      <c r="AN120" s="136">
        <f t="shared" si="85"/>
        <v>9.0299999999999991E-2</v>
      </c>
      <c r="AO120" s="133">
        <f t="shared" si="71"/>
        <v>0.67305277777777772</v>
      </c>
      <c r="AP120" s="132">
        <f t="shared" si="86"/>
        <v>0.21048970833333325</v>
      </c>
      <c r="AQ120" s="137">
        <f t="shared" si="87"/>
        <v>0.53024124999999989</v>
      </c>
      <c r="AR120" s="137">
        <f t="shared" si="88"/>
        <v>4.147588250013759E-2</v>
      </c>
      <c r="AS120" s="1">
        <f t="shared" si="89"/>
        <v>5.9279999999999999E-2</v>
      </c>
      <c r="AT120" s="133">
        <f t="shared" si="90"/>
        <v>4.8000000000000001E-2</v>
      </c>
      <c r="AU120" s="132">
        <f t="shared" si="72"/>
        <v>2.629511698664655</v>
      </c>
      <c r="AV120" s="1">
        <f t="shared" si="73"/>
        <v>67.8</v>
      </c>
      <c r="AW120" s="133">
        <f t="shared" si="74"/>
        <v>96.266463254899278</v>
      </c>
    </row>
    <row r="121" spans="17:49" x14ac:dyDescent="0.25">
      <c r="Q121">
        <v>114</v>
      </c>
      <c r="R121" s="132">
        <f t="shared" si="46"/>
        <v>18</v>
      </c>
      <c r="S121" s="1">
        <f t="shared" si="47"/>
        <v>3.8</v>
      </c>
      <c r="T121" s="1">
        <f t="shared" si="76"/>
        <v>12</v>
      </c>
      <c r="U121" s="133">
        <f t="shared" si="77"/>
        <v>5.6999999999999993</v>
      </c>
      <c r="V121" s="132">
        <f>IF(Calculations!$B$17=3,2,IF((S121*R121/T121)&lt;((T121*(1-(T121/R121)))/(2*Lm*fsw)),1,2))</f>
        <v>2</v>
      </c>
      <c r="W121" s="1">
        <f t="shared" si="78"/>
        <v>0.33333333333333337</v>
      </c>
      <c r="X121" s="133">
        <f t="shared" si="79"/>
        <v>0.66666666666666663</v>
      </c>
      <c r="Y121" s="132">
        <f t="shared" si="80"/>
        <v>1.6</v>
      </c>
      <c r="Z121" s="1">
        <f t="shared" si="63"/>
        <v>6.4999999999999991</v>
      </c>
      <c r="AA121" s="1">
        <f t="shared" si="64"/>
        <v>5.7186828320281347</v>
      </c>
      <c r="AB121" s="1">
        <v>0</v>
      </c>
      <c r="AC121" s="1">
        <f t="shared" si="81"/>
        <v>0.53960499999999989</v>
      </c>
      <c r="AD121" s="133">
        <f t="shared" si="65"/>
        <v>0.53960499999999989</v>
      </c>
      <c r="AE121" s="132">
        <f t="shared" si="75"/>
        <v>1.9</v>
      </c>
      <c r="AF121" s="1">
        <f t="shared" si="66"/>
        <v>3.3016830724815347</v>
      </c>
      <c r="AG121" s="1">
        <f t="shared" si="82"/>
        <v>0.21802222222222212</v>
      </c>
      <c r="AH121" s="1">
        <f t="shared" si="83"/>
        <v>0.32534585214827472</v>
      </c>
      <c r="AI121" s="133">
        <f t="shared" si="67"/>
        <v>0.54336807437049683</v>
      </c>
      <c r="AJ121" s="132">
        <f t="shared" si="68"/>
        <v>3.7999999999999994</v>
      </c>
      <c r="AK121" s="1">
        <f t="shared" si="69"/>
        <v>4.6692849797610565</v>
      </c>
      <c r="AL121" s="1">
        <f t="shared" si="84"/>
        <v>0.43604444444444418</v>
      </c>
      <c r="AM121" s="1">
        <f t="shared" si="91"/>
        <v>0.15427500000000002</v>
      </c>
      <c r="AN121" s="136">
        <f t="shared" si="85"/>
        <v>9.0999999999999984E-2</v>
      </c>
      <c r="AO121" s="133">
        <f t="shared" si="71"/>
        <v>0.68131944444444414</v>
      </c>
      <c r="AP121" s="132">
        <f t="shared" si="86"/>
        <v>0.21420683333333326</v>
      </c>
      <c r="AQ121" s="137">
        <f t="shared" si="87"/>
        <v>0.53960499999999989</v>
      </c>
      <c r="AR121" s="137">
        <f t="shared" si="88"/>
        <v>4.147588250013759E-2</v>
      </c>
      <c r="AS121" s="1">
        <f t="shared" si="89"/>
        <v>5.9279999999999999E-2</v>
      </c>
      <c r="AT121" s="133">
        <f t="shared" si="90"/>
        <v>4.8000000000000001E-2</v>
      </c>
      <c r="AU121" s="132">
        <f t="shared" si="72"/>
        <v>2.6668602346484116</v>
      </c>
      <c r="AV121" s="1">
        <f t="shared" si="73"/>
        <v>68.399999999999991</v>
      </c>
      <c r="AW121" s="133">
        <f t="shared" si="74"/>
        <v>96.247392630203478</v>
      </c>
    </row>
    <row r="122" spans="17:49" x14ac:dyDescent="0.25">
      <c r="Q122">
        <v>115</v>
      </c>
      <c r="R122" s="132">
        <f t="shared" si="46"/>
        <v>18</v>
      </c>
      <c r="S122" s="1">
        <f t="shared" si="47"/>
        <v>3.8333333333333335</v>
      </c>
      <c r="T122" s="1">
        <f t="shared" si="76"/>
        <v>12</v>
      </c>
      <c r="U122" s="133">
        <f t="shared" si="77"/>
        <v>5.75</v>
      </c>
      <c r="V122" s="132">
        <f>IF(Calculations!$B$17=3,2,IF((S122*R122/T122)&lt;((T122*(1-(T122/R122)))/(2*Lm*fsw)),1,2))</f>
        <v>2</v>
      </c>
      <c r="W122" s="1">
        <f t="shared" si="78"/>
        <v>0.33333333333333337</v>
      </c>
      <c r="X122" s="133">
        <f t="shared" si="79"/>
        <v>0.66666666666666663</v>
      </c>
      <c r="Y122" s="132">
        <f t="shared" si="80"/>
        <v>1.6</v>
      </c>
      <c r="Z122" s="1">
        <f t="shared" si="63"/>
        <v>6.55</v>
      </c>
      <c r="AA122" s="1">
        <f t="shared" si="64"/>
        <v>5.7685208964979342</v>
      </c>
      <c r="AB122" s="1">
        <v>0</v>
      </c>
      <c r="AC122" s="1">
        <f t="shared" si="81"/>
        <v>0.54905124999999999</v>
      </c>
      <c r="AD122" s="133">
        <f t="shared" si="65"/>
        <v>0.54905124999999999</v>
      </c>
      <c r="AE122" s="132">
        <f t="shared" si="75"/>
        <v>1.916666666666667</v>
      </c>
      <c r="AF122" s="1">
        <f t="shared" si="66"/>
        <v>3.3304570924190635</v>
      </c>
      <c r="AG122" s="1">
        <f t="shared" si="82"/>
        <v>0.22183888888888884</v>
      </c>
      <c r="AH122" s="1">
        <f t="shared" si="83"/>
        <v>0.32819976313203153</v>
      </c>
      <c r="AI122" s="133">
        <f t="shared" si="67"/>
        <v>0.55003865202092039</v>
      </c>
      <c r="AJ122" s="132">
        <f t="shared" si="68"/>
        <v>3.833333333333333</v>
      </c>
      <c r="AK122" s="1">
        <f t="shared" si="69"/>
        <v>4.7099775890007036</v>
      </c>
      <c r="AL122" s="1">
        <f t="shared" si="84"/>
        <v>0.44367777777777762</v>
      </c>
      <c r="AM122" s="1">
        <f t="shared" si="91"/>
        <v>0.15427500000000002</v>
      </c>
      <c r="AN122" s="136">
        <f t="shared" si="85"/>
        <v>9.1700000000000004E-2</v>
      </c>
      <c r="AO122" s="133">
        <f t="shared" si="71"/>
        <v>0.68965277777777767</v>
      </c>
      <c r="AP122" s="132">
        <f t="shared" si="86"/>
        <v>0.2179567083333333</v>
      </c>
      <c r="AQ122" s="137">
        <f t="shared" si="87"/>
        <v>0.54905124999999999</v>
      </c>
      <c r="AR122" s="137">
        <f t="shared" si="88"/>
        <v>4.147588250013759E-2</v>
      </c>
      <c r="AS122" s="1">
        <f t="shared" si="89"/>
        <v>5.9279999999999999E-2</v>
      </c>
      <c r="AT122" s="133">
        <f t="shared" si="90"/>
        <v>4.8000000000000001E-2</v>
      </c>
      <c r="AU122" s="132">
        <f t="shared" si="72"/>
        <v>2.7045065206321692</v>
      </c>
      <c r="AV122" s="1">
        <f t="shared" si="73"/>
        <v>69</v>
      </c>
      <c r="AW122" s="133">
        <f t="shared" si="74"/>
        <v>96.228261441484193</v>
      </c>
    </row>
    <row r="123" spans="17:49" x14ac:dyDescent="0.25">
      <c r="Q123">
        <v>116</v>
      </c>
      <c r="R123" s="132">
        <f t="shared" si="46"/>
        <v>18</v>
      </c>
      <c r="S123" s="1">
        <f t="shared" si="47"/>
        <v>3.8666666666666667</v>
      </c>
      <c r="T123" s="1">
        <f t="shared" si="76"/>
        <v>12</v>
      </c>
      <c r="U123" s="133">
        <f t="shared" si="77"/>
        <v>5.8</v>
      </c>
      <c r="V123" s="132">
        <f>IF(Calculations!$B$17=3,2,IF((S123*R123/T123)&lt;((T123*(1-(T123/R123)))/(2*Lm*fsw)),1,2))</f>
        <v>2</v>
      </c>
      <c r="W123" s="1">
        <f t="shared" si="78"/>
        <v>0.33333333333333337</v>
      </c>
      <c r="X123" s="133">
        <f t="shared" si="79"/>
        <v>0.66666666666666663</v>
      </c>
      <c r="Y123" s="132">
        <f t="shared" si="80"/>
        <v>1.6</v>
      </c>
      <c r="Z123" s="1">
        <f t="shared" si="63"/>
        <v>6.6</v>
      </c>
      <c r="AA123" s="1">
        <f t="shared" si="64"/>
        <v>5.8183617396422962</v>
      </c>
      <c r="AB123" s="1">
        <v>0</v>
      </c>
      <c r="AC123" s="1">
        <f t="shared" si="81"/>
        <v>0.55857999999999985</v>
      </c>
      <c r="AD123" s="133">
        <f t="shared" si="65"/>
        <v>0.55857999999999985</v>
      </c>
      <c r="AE123" s="132">
        <f t="shared" si="75"/>
        <v>1.9333333333333336</v>
      </c>
      <c r="AF123" s="1">
        <f t="shared" si="66"/>
        <v>3.3592327166250988</v>
      </c>
      <c r="AG123" s="1">
        <f t="shared" si="82"/>
        <v>0.22568888888888883</v>
      </c>
      <c r="AH123" s="1">
        <f t="shared" si="83"/>
        <v>0.33105367411578829</v>
      </c>
      <c r="AI123" s="133">
        <f t="shared" si="67"/>
        <v>0.55674256300467717</v>
      </c>
      <c r="AJ123" s="132">
        <f t="shared" si="68"/>
        <v>3.8666666666666663</v>
      </c>
      <c r="AK123" s="1">
        <f t="shared" si="69"/>
        <v>4.7506724670186307</v>
      </c>
      <c r="AL123" s="1">
        <f t="shared" si="84"/>
        <v>0.45137777777777766</v>
      </c>
      <c r="AM123" s="1">
        <f t="shared" si="91"/>
        <v>0.15427500000000002</v>
      </c>
      <c r="AN123" s="136">
        <f t="shared" si="85"/>
        <v>9.2399999999999996E-2</v>
      </c>
      <c r="AO123" s="133">
        <f t="shared" si="71"/>
        <v>0.69805277777777774</v>
      </c>
      <c r="AP123" s="132">
        <f t="shared" si="86"/>
        <v>0.22173933333333326</v>
      </c>
      <c r="AQ123" s="137">
        <f t="shared" si="87"/>
        <v>0.55857999999999985</v>
      </c>
      <c r="AR123" s="137">
        <f t="shared" si="88"/>
        <v>4.147588250013759E-2</v>
      </c>
      <c r="AS123" s="1">
        <f t="shared" si="89"/>
        <v>5.9279999999999999E-2</v>
      </c>
      <c r="AT123" s="133">
        <f t="shared" si="90"/>
        <v>4.8000000000000001E-2</v>
      </c>
      <c r="AU123" s="132">
        <f t="shared" si="72"/>
        <v>2.7424505566159261</v>
      </c>
      <c r="AV123" s="1">
        <f t="shared" si="73"/>
        <v>69.599999999999994</v>
      </c>
      <c r="AW123" s="133">
        <f t="shared" si="74"/>
        <v>96.209071526448156</v>
      </c>
    </row>
    <row r="124" spans="17:49" x14ac:dyDescent="0.25">
      <c r="Q124">
        <v>117</v>
      </c>
      <c r="R124" s="132">
        <f t="shared" si="46"/>
        <v>18</v>
      </c>
      <c r="S124" s="1">
        <f t="shared" si="47"/>
        <v>3.9</v>
      </c>
      <c r="T124" s="1">
        <f t="shared" si="76"/>
        <v>12</v>
      </c>
      <c r="U124" s="133">
        <f t="shared" si="77"/>
        <v>5.8500000000000005</v>
      </c>
      <c r="V124" s="132">
        <f>IF(Calculations!$B$17=3,2,IF((S124*R124/T124)&lt;((T124*(1-(T124/R124)))/(2*Lm*fsw)),1,2))</f>
        <v>2</v>
      </c>
      <c r="W124" s="1">
        <f t="shared" si="78"/>
        <v>0.33333333333333337</v>
      </c>
      <c r="X124" s="133">
        <f t="shared" si="79"/>
        <v>0.66666666666666663</v>
      </c>
      <c r="Y124" s="132">
        <f t="shared" si="80"/>
        <v>1.6</v>
      </c>
      <c r="Z124" s="1">
        <f t="shared" si="63"/>
        <v>6.65</v>
      </c>
      <c r="AA124" s="1">
        <f t="shared" si="64"/>
        <v>5.8682052906602831</v>
      </c>
      <c r="AB124" s="1">
        <v>0</v>
      </c>
      <c r="AC124" s="1">
        <f t="shared" si="81"/>
        <v>0.56819125000000004</v>
      </c>
      <c r="AD124" s="133">
        <f t="shared" si="65"/>
        <v>0.56819125000000004</v>
      </c>
      <c r="AE124" s="132">
        <f t="shared" si="75"/>
        <v>1.9500000000000004</v>
      </c>
      <c r="AF124" s="1">
        <f t="shared" si="66"/>
        <v>3.3880099042227005</v>
      </c>
      <c r="AG124" s="1">
        <f t="shared" si="82"/>
        <v>0.22957222222222226</v>
      </c>
      <c r="AH124" s="1">
        <f t="shared" si="83"/>
        <v>0.33390758509954516</v>
      </c>
      <c r="AI124" s="133">
        <f t="shared" si="67"/>
        <v>0.56347980732176739</v>
      </c>
      <c r="AJ124" s="132">
        <f t="shared" si="68"/>
        <v>3.9000000000000004</v>
      </c>
      <c r="AK124" s="1">
        <f t="shared" si="69"/>
        <v>4.7913695560061136</v>
      </c>
      <c r="AL124" s="1">
        <f t="shared" si="84"/>
        <v>0.45914444444444441</v>
      </c>
      <c r="AM124" s="1">
        <f t="shared" si="91"/>
        <v>0.15427500000000002</v>
      </c>
      <c r="AN124" s="136">
        <f t="shared" si="85"/>
        <v>9.3100000000000002E-2</v>
      </c>
      <c r="AO124" s="133">
        <f t="shared" si="71"/>
        <v>0.70651944444444437</v>
      </c>
      <c r="AP124" s="132">
        <f t="shared" si="86"/>
        <v>0.22555470833333333</v>
      </c>
      <c r="AQ124" s="137">
        <f t="shared" si="87"/>
        <v>0.56819125000000004</v>
      </c>
      <c r="AR124" s="137">
        <f t="shared" si="88"/>
        <v>4.147588250013759E-2</v>
      </c>
      <c r="AS124" s="1">
        <f t="shared" si="89"/>
        <v>5.9279999999999999E-2</v>
      </c>
      <c r="AT124" s="133">
        <f t="shared" si="90"/>
        <v>4.8000000000000001E-2</v>
      </c>
      <c r="AU124" s="132">
        <f t="shared" si="72"/>
        <v>2.7806923425996826</v>
      </c>
      <c r="AV124" s="1">
        <f t="shared" si="73"/>
        <v>70.2</v>
      </c>
      <c r="AW124" s="133">
        <f t="shared" si="74"/>
        <v>96.189824659999061</v>
      </c>
    </row>
    <row r="125" spans="17:49" x14ac:dyDescent="0.25">
      <c r="Q125">
        <v>118</v>
      </c>
      <c r="R125" s="132">
        <f t="shared" si="46"/>
        <v>18</v>
      </c>
      <c r="S125" s="1">
        <f t="shared" si="47"/>
        <v>3.9333333333333331</v>
      </c>
      <c r="T125" s="1">
        <f t="shared" si="76"/>
        <v>12</v>
      </c>
      <c r="U125" s="133">
        <f t="shared" si="77"/>
        <v>5.8999999999999995</v>
      </c>
      <c r="V125" s="132">
        <f>IF(Calculations!$B$17=3,2,IF((S125*R125/T125)&lt;((T125*(1-(T125/R125)))/(2*Lm*fsw)),1,2))</f>
        <v>2</v>
      </c>
      <c r="W125" s="1">
        <f t="shared" si="78"/>
        <v>0.33333333333333337</v>
      </c>
      <c r="X125" s="133">
        <f t="shared" si="79"/>
        <v>0.66666666666666663</v>
      </c>
      <c r="Y125" s="132">
        <f t="shared" si="80"/>
        <v>1.6</v>
      </c>
      <c r="Z125" s="1">
        <f t="shared" si="63"/>
        <v>6.6999999999999993</v>
      </c>
      <c r="AA125" s="1">
        <f t="shared" si="64"/>
        <v>5.9180514811323945</v>
      </c>
      <c r="AB125" s="1">
        <v>0</v>
      </c>
      <c r="AC125" s="1">
        <f t="shared" si="81"/>
        <v>0.57788499999999987</v>
      </c>
      <c r="AD125" s="133">
        <f t="shared" si="65"/>
        <v>0.57788499999999987</v>
      </c>
      <c r="AE125" s="132">
        <f t="shared" si="75"/>
        <v>1.9666666666666668</v>
      </c>
      <c r="AF125" s="1">
        <f t="shared" si="66"/>
        <v>3.4167886157098515</v>
      </c>
      <c r="AG125" s="1">
        <f t="shared" si="82"/>
        <v>0.23348888888888886</v>
      </c>
      <c r="AH125" s="1">
        <f t="shared" si="83"/>
        <v>0.33676149608330186</v>
      </c>
      <c r="AI125" s="133">
        <f t="shared" si="67"/>
        <v>0.57025038497219072</v>
      </c>
      <c r="AJ125" s="132">
        <f t="shared" si="68"/>
        <v>3.9333333333333327</v>
      </c>
      <c r="AK125" s="1">
        <f t="shared" si="69"/>
        <v>4.832068800098865</v>
      </c>
      <c r="AL125" s="1">
        <f t="shared" si="84"/>
        <v>0.46697777777777766</v>
      </c>
      <c r="AM125" s="1">
        <f t="shared" si="91"/>
        <v>0.15427500000000002</v>
      </c>
      <c r="AN125" s="136">
        <f t="shared" si="85"/>
        <v>9.3799999999999994E-2</v>
      </c>
      <c r="AO125" s="133">
        <f t="shared" si="71"/>
        <v>0.71505277777777765</v>
      </c>
      <c r="AP125" s="132">
        <f t="shared" si="86"/>
        <v>0.22940283333333328</v>
      </c>
      <c r="AQ125" s="137">
        <f t="shared" si="87"/>
        <v>0.57788499999999987</v>
      </c>
      <c r="AR125" s="137">
        <f t="shared" si="88"/>
        <v>4.147588250013759E-2</v>
      </c>
      <c r="AS125" s="1">
        <f t="shared" si="89"/>
        <v>5.9279999999999999E-2</v>
      </c>
      <c r="AT125" s="133">
        <f t="shared" si="90"/>
        <v>4.8000000000000001E-2</v>
      </c>
      <c r="AU125" s="132">
        <f t="shared" si="72"/>
        <v>2.8192318785834392</v>
      </c>
      <c r="AV125" s="1">
        <f t="shared" si="73"/>
        <v>70.8</v>
      </c>
      <c r="AW125" s="133">
        <f t="shared" si="74"/>
        <v>96.170522556886965</v>
      </c>
    </row>
    <row r="126" spans="17:49" x14ac:dyDescent="0.25">
      <c r="Q126">
        <v>119</v>
      </c>
      <c r="R126" s="132">
        <f t="shared" si="46"/>
        <v>18</v>
      </c>
      <c r="S126" s="1">
        <f t="shared" si="47"/>
        <v>3.9666666666666668</v>
      </c>
      <c r="T126" s="1">
        <f t="shared" si="76"/>
        <v>12</v>
      </c>
      <c r="U126" s="133">
        <f t="shared" si="77"/>
        <v>5.95</v>
      </c>
      <c r="V126" s="132">
        <f>IF(Calculations!$B$17=3,2,IF((S126*R126/T126)&lt;((T126*(1-(T126/R126)))/(2*Lm*fsw)),1,2))</f>
        <v>2</v>
      </c>
      <c r="W126" s="1">
        <f t="shared" si="78"/>
        <v>0.33333333333333337</v>
      </c>
      <c r="X126" s="133">
        <f t="shared" si="79"/>
        <v>0.66666666666666663</v>
      </c>
      <c r="Y126" s="132">
        <f t="shared" si="80"/>
        <v>1.6</v>
      </c>
      <c r="Z126" s="1">
        <f t="shared" si="63"/>
        <v>6.75</v>
      </c>
      <c r="AA126" s="1">
        <f t="shared" si="64"/>
        <v>5.9679002449214362</v>
      </c>
      <c r="AB126" s="1">
        <v>0</v>
      </c>
      <c r="AC126" s="1">
        <f t="shared" si="81"/>
        <v>0.58766125000000013</v>
      </c>
      <c r="AD126" s="133">
        <f t="shared" si="65"/>
        <v>0.58766125000000013</v>
      </c>
      <c r="AE126" s="132">
        <f t="shared" si="75"/>
        <v>1.9833333333333336</v>
      </c>
      <c r="AF126" s="1">
        <f t="shared" si="66"/>
        <v>3.4455688129022244</v>
      </c>
      <c r="AG126" s="1">
        <f t="shared" si="82"/>
        <v>0.23743888888888887</v>
      </c>
      <c r="AH126" s="1">
        <f t="shared" si="83"/>
        <v>0.33961540706705878</v>
      </c>
      <c r="AI126" s="133">
        <f t="shared" si="67"/>
        <v>0.5770542959559477</v>
      </c>
      <c r="AJ126" s="132">
        <f t="shared" si="68"/>
        <v>3.9666666666666668</v>
      </c>
      <c r="AK126" s="1">
        <f t="shared" si="69"/>
        <v>4.8727701452960908</v>
      </c>
      <c r="AL126" s="1">
        <f t="shared" si="84"/>
        <v>0.47487777777777773</v>
      </c>
      <c r="AM126" s="1">
        <f t="shared" si="91"/>
        <v>0.15427500000000002</v>
      </c>
      <c r="AN126" s="136">
        <f t="shared" si="85"/>
        <v>9.4500000000000001E-2</v>
      </c>
      <c r="AO126" s="133">
        <f t="shared" si="71"/>
        <v>0.72365277777777781</v>
      </c>
      <c r="AP126" s="132">
        <f t="shared" si="86"/>
        <v>0.23328370833333337</v>
      </c>
      <c r="AQ126" s="137">
        <f t="shared" si="87"/>
        <v>0.58766125000000013</v>
      </c>
      <c r="AR126" s="137">
        <f t="shared" si="88"/>
        <v>4.147588250013759E-2</v>
      </c>
      <c r="AS126" s="1">
        <f t="shared" si="89"/>
        <v>5.9279999999999999E-2</v>
      </c>
      <c r="AT126" s="133">
        <f t="shared" si="90"/>
        <v>4.8000000000000001E-2</v>
      </c>
      <c r="AU126" s="132">
        <f t="shared" si="72"/>
        <v>2.8580691645671963</v>
      </c>
      <c r="AV126" s="1">
        <f t="shared" si="73"/>
        <v>71.400000000000006</v>
      </c>
      <c r="AW126" s="133">
        <f t="shared" si="74"/>
        <v>96.15116687422443</v>
      </c>
    </row>
    <row r="127" spans="17:49" x14ac:dyDescent="0.25">
      <c r="Q127">
        <v>120</v>
      </c>
      <c r="R127" s="132">
        <f t="shared" si="46"/>
        <v>18</v>
      </c>
      <c r="S127" s="1">
        <f t="shared" si="47"/>
        <v>4</v>
      </c>
      <c r="T127" s="1">
        <f t="shared" si="76"/>
        <v>12</v>
      </c>
      <c r="U127" s="133">
        <f t="shared" si="77"/>
        <v>6</v>
      </c>
      <c r="V127" s="132">
        <f>IF(Calculations!$B$17=3,2,IF((S127*R127/T127)&lt;((T127*(1-(T127/R127)))/(2*Lm*fsw)),1,2))</f>
        <v>2</v>
      </c>
      <c r="W127" s="1">
        <f t="shared" si="78"/>
        <v>0.33333333333333337</v>
      </c>
      <c r="X127" s="133">
        <f t="shared" si="79"/>
        <v>0.66666666666666663</v>
      </c>
      <c r="Y127" s="132">
        <f t="shared" si="80"/>
        <v>1.6</v>
      </c>
      <c r="Z127" s="1">
        <f t="shared" si="63"/>
        <v>6.8</v>
      </c>
      <c r="AA127" s="1">
        <f t="shared" si="64"/>
        <v>6.0177515180782706</v>
      </c>
      <c r="AB127" s="1">
        <v>0</v>
      </c>
      <c r="AC127" s="1">
        <f t="shared" si="81"/>
        <v>0.59751999999999994</v>
      </c>
      <c r="AD127" s="133">
        <f t="shared" si="65"/>
        <v>0.59751999999999994</v>
      </c>
      <c r="AE127" s="132">
        <f t="shared" si="75"/>
        <v>2</v>
      </c>
      <c r="AF127" s="1">
        <f t="shared" si="66"/>
        <v>3.4743504588787686</v>
      </c>
      <c r="AG127" s="1">
        <f t="shared" si="82"/>
        <v>0.2414222222222222</v>
      </c>
      <c r="AH127" s="1">
        <f t="shared" si="83"/>
        <v>0.34246931805081554</v>
      </c>
      <c r="AI127" s="133">
        <f t="shared" si="67"/>
        <v>0.5838915402730378</v>
      </c>
      <c r="AJ127" s="132">
        <f t="shared" si="68"/>
        <v>4</v>
      </c>
      <c r="AK127" s="1">
        <f t="shared" si="69"/>
        <v>4.9134735393835403</v>
      </c>
      <c r="AL127" s="1">
        <f t="shared" si="84"/>
        <v>0.48284444444444435</v>
      </c>
      <c r="AM127" s="1">
        <f t="shared" si="91"/>
        <v>0.15427500000000002</v>
      </c>
      <c r="AN127" s="136">
        <f t="shared" si="85"/>
        <v>9.5199999999999993E-2</v>
      </c>
      <c r="AO127" s="133">
        <f t="shared" si="71"/>
        <v>0.7323194444444443</v>
      </c>
      <c r="AP127" s="132">
        <f t="shared" si="86"/>
        <v>0.23719733333333329</v>
      </c>
      <c r="AQ127" s="137">
        <f t="shared" si="87"/>
        <v>0.59751999999999994</v>
      </c>
      <c r="AR127" s="137">
        <f t="shared" si="88"/>
        <v>4.147588250013759E-2</v>
      </c>
      <c r="AS127" s="1">
        <f t="shared" si="89"/>
        <v>5.9279999999999999E-2</v>
      </c>
      <c r="AT127" s="133">
        <f t="shared" si="90"/>
        <v>4.8000000000000001E-2</v>
      </c>
      <c r="AU127" s="132">
        <f t="shared" si="72"/>
        <v>2.8972042005509531</v>
      </c>
      <c r="AV127" s="1">
        <f t="shared" si="73"/>
        <v>72</v>
      </c>
      <c r="AW127" s="133">
        <f t="shared" si="74"/>
        <v>96.131759213877771</v>
      </c>
    </row>
    <row r="128" spans="17:49" x14ac:dyDescent="0.25">
      <c r="Q128">
        <v>121</v>
      </c>
      <c r="R128" s="132">
        <f t="shared" si="46"/>
        <v>18</v>
      </c>
      <c r="S128" s="1">
        <f t="shared" si="47"/>
        <v>4.0333333333333332</v>
      </c>
      <c r="T128" s="1">
        <f t="shared" si="76"/>
        <v>12</v>
      </c>
      <c r="U128" s="133">
        <f t="shared" si="77"/>
        <v>6.05</v>
      </c>
      <c r="V128" s="132">
        <f>IF(Calculations!$B$17=3,2,IF((S128*R128/T128)&lt;((T128*(1-(T128/R128)))/(2*Lm*fsw)),1,2))</f>
        <v>2</v>
      </c>
      <c r="W128" s="1">
        <f t="shared" si="78"/>
        <v>0.33333333333333337</v>
      </c>
      <c r="X128" s="133">
        <f t="shared" si="79"/>
        <v>0.66666666666666663</v>
      </c>
      <c r="Y128" s="132">
        <f t="shared" si="80"/>
        <v>1.6</v>
      </c>
      <c r="Z128" s="1">
        <f t="shared" si="63"/>
        <v>6.85</v>
      </c>
      <c r="AA128" s="1">
        <f t="shared" si="64"/>
        <v>6.0676052387522157</v>
      </c>
      <c r="AB128" s="1">
        <v>0</v>
      </c>
      <c r="AC128" s="1">
        <f t="shared" si="81"/>
        <v>0.60746124999999995</v>
      </c>
      <c r="AD128" s="133">
        <f t="shared" si="65"/>
        <v>0.60746124999999995</v>
      </c>
      <c r="AE128" s="132">
        <f t="shared" si="75"/>
        <v>2.0166666666666671</v>
      </c>
      <c r="AF128" s="1">
        <f t="shared" si="66"/>
        <v>3.503133517929975</v>
      </c>
      <c r="AG128" s="1">
        <f t="shared" si="82"/>
        <v>0.24543888888888885</v>
      </c>
      <c r="AH128" s="1">
        <f t="shared" si="83"/>
        <v>0.34532322903457224</v>
      </c>
      <c r="AI128" s="133">
        <f t="shared" si="67"/>
        <v>0.59076211792346112</v>
      </c>
      <c r="AJ128" s="132">
        <f t="shared" si="68"/>
        <v>4.0333333333333332</v>
      </c>
      <c r="AK128" s="1">
        <f t="shared" si="69"/>
        <v>4.9541789318603424</v>
      </c>
      <c r="AL128" s="1">
        <f t="shared" si="84"/>
        <v>0.49087777777777769</v>
      </c>
      <c r="AM128" s="1">
        <f t="shared" si="91"/>
        <v>0.15427500000000002</v>
      </c>
      <c r="AN128" s="136">
        <f t="shared" si="85"/>
        <v>9.5899999999999999E-2</v>
      </c>
      <c r="AO128" s="133">
        <f t="shared" si="71"/>
        <v>0.74105277777777767</v>
      </c>
      <c r="AP128" s="132">
        <f t="shared" si="86"/>
        <v>0.24114370833333329</v>
      </c>
      <c r="AQ128" s="137">
        <f t="shared" si="87"/>
        <v>0.60746124999999995</v>
      </c>
      <c r="AR128" s="137">
        <f t="shared" si="88"/>
        <v>4.147588250013759E-2</v>
      </c>
      <c r="AS128" s="1">
        <f t="shared" si="89"/>
        <v>5.9279999999999999E-2</v>
      </c>
      <c r="AT128" s="133">
        <f t="shared" si="90"/>
        <v>4.8000000000000001E-2</v>
      </c>
      <c r="AU128" s="132">
        <f t="shared" si="72"/>
        <v>2.9366369865347095</v>
      </c>
      <c r="AV128" s="1">
        <f t="shared" si="73"/>
        <v>72.599999999999994</v>
      </c>
      <c r="AW128" s="133">
        <f t="shared" si="74"/>
        <v>96.112301124740043</v>
      </c>
    </row>
    <row r="129" spans="17:49" x14ac:dyDescent="0.25">
      <c r="Q129">
        <v>122</v>
      </c>
      <c r="R129" s="132">
        <f t="shared" si="46"/>
        <v>18</v>
      </c>
      <c r="S129" s="1">
        <f t="shared" si="47"/>
        <v>4.0666666666666664</v>
      </c>
      <c r="T129" s="1">
        <f t="shared" si="76"/>
        <v>12</v>
      </c>
      <c r="U129" s="133">
        <f t="shared" si="77"/>
        <v>6.0999999999999988</v>
      </c>
      <c r="V129" s="132">
        <f>IF(Calculations!$B$17=3,2,IF((S129*R129/T129)&lt;((T129*(1-(T129/R129)))/(2*Lm*fsw)),1,2))</f>
        <v>2</v>
      </c>
      <c r="W129" s="1">
        <f t="shared" si="78"/>
        <v>0.33333333333333337</v>
      </c>
      <c r="X129" s="133">
        <f t="shared" si="79"/>
        <v>0.66666666666666663</v>
      </c>
      <c r="Y129" s="132">
        <f t="shared" si="80"/>
        <v>1.6</v>
      </c>
      <c r="Z129" s="1">
        <f t="shared" si="63"/>
        <v>6.8999999999999986</v>
      </c>
      <c r="AA129" s="1">
        <f t="shared" si="64"/>
        <v>6.1174613471057846</v>
      </c>
      <c r="AB129" s="1">
        <v>0</v>
      </c>
      <c r="AC129" s="1">
        <f t="shared" si="81"/>
        <v>0.61748499999999973</v>
      </c>
      <c r="AD129" s="133">
        <f t="shared" si="65"/>
        <v>0.61748499999999973</v>
      </c>
      <c r="AE129" s="132">
        <f t="shared" si="75"/>
        <v>2.0333333333333332</v>
      </c>
      <c r="AF129" s="1">
        <f t="shared" si="66"/>
        <v>3.5319179555086553</v>
      </c>
      <c r="AG129" s="1">
        <f t="shared" si="82"/>
        <v>0.24948888888888879</v>
      </c>
      <c r="AH129" s="1">
        <f t="shared" si="83"/>
        <v>0.34817714001832906</v>
      </c>
      <c r="AI129" s="133">
        <f t="shared" si="67"/>
        <v>0.59766602890721787</v>
      </c>
      <c r="AJ129" s="132">
        <f t="shared" si="68"/>
        <v>4.0666666666666655</v>
      </c>
      <c r="AK129" s="1">
        <f t="shared" si="69"/>
        <v>4.9948862738693931</v>
      </c>
      <c r="AL129" s="1">
        <f t="shared" si="84"/>
        <v>0.49897777777777741</v>
      </c>
      <c r="AM129" s="1">
        <f t="shared" si="91"/>
        <v>0.15427500000000002</v>
      </c>
      <c r="AN129" s="136">
        <f t="shared" si="85"/>
        <v>9.6599999999999978E-2</v>
      </c>
      <c r="AO129" s="133">
        <f t="shared" si="71"/>
        <v>0.74985277777777748</v>
      </c>
      <c r="AP129" s="132">
        <f t="shared" si="86"/>
        <v>0.24512283333333321</v>
      </c>
      <c r="AQ129" s="137">
        <f t="shared" si="87"/>
        <v>0.61748499999999973</v>
      </c>
      <c r="AR129" s="137">
        <f t="shared" si="88"/>
        <v>4.147588250013759E-2</v>
      </c>
      <c r="AS129" s="1">
        <f t="shared" si="89"/>
        <v>5.9279999999999999E-2</v>
      </c>
      <c r="AT129" s="133">
        <f t="shared" si="90"/>
        <v>4.8000000000000001E-2</v>
      </c>
      <c r="AU129" s="132">
        <f t="shared" si="72"/>
        <v>2.9763675225184656</v>
      </c>
      <c r="AV129" s="1">
        <f t="shared" si="73"/>
        <v>73.199999999999989</v>
      </c>
      <c r="AW129" s="133">
        <f t="shared" si="74"/>
        <v>96.092794104892661</v>
      </c>
    </row>
    <row r="130" spans="17:49" x14ac:dyDescent="0.25">
      <c r="Q130">
        <v>123</v>
      </c>
      <c r="R130" s="132">
        <f t="shared" si="46"/>
        <v>18</v>
      </c>
      <c r="S130" s="1">
        <f t="shared" si="47"/>
        <v>4.0999999999999996</v>
      </c>
      <c r="T130" s="1">
        <f t="shared" si="76"/>
        <v>12</v>
      </c>
      <c r="U130" s="133">
        <f t="shared" si="77"/>
        <v>6.1499999999999995</v>
      </c>
      <c r="V130" s="132">
        <f>IF(Calculations!$B$17=3,2,IF((S130*R130/T130)&lt;((T130*(1-(T130/R130)))/(2*Lm*fsw)),1,2))</f>
        <v>2</v>
      </c>
      <c r="W130" s="1">
        <f t="shared" si="78"/>
        <v>0.33333333333333337</v>
      </c>
      <c r="X130" s="133">
        <f t="shared" si="79"/>
        <v>0.66666666666666663</v>
      </c>
      <c r="Y130" s="132">
        <f t="shared" si="80"/>
        <v>1.6</v>
      </c>
      <c r="Z130" s="1">
        <f t="shared" si="63"/>
        <v>6.9499999999999993</v>
      </c>
      <c r="AA130" s="1">
        <f t="shared" si="64"/>
        <v>6.1673197852335599</v>
      </c>
      <c r="AB130" s="1">
        <v>0</v>
      </c>
      <c r="AC130" s="1">
        <f t="shared" si="81"/>
        <v>0.62759124999999982</v>
      </c>
      <c r="AD130" s="133">
        <f t="shared" si="65"/>
        <v>0.62759124999999982</v>
      </c>
      <c r="AE130" s="132">
        <f t="shared" si="75"/>
        <v>2.0500000000000003</v>
      </c>
      <c r="AF130" s="1">
        <f t="shared" si="66"/>
        <v>3.5607037381831006</v>
      </c>
      <c r="AG130" s="1">
        <f t="shared" si="82"/>
        <v>0.25357222222222214</v>
      </c>
      <c r="AH130" s="1">
        <f t="shared" si="83"/>
        <v>0.35103105100208587</v>
      </c>
      <c r="AI130" s="133">
        <f t="shared" si="67"/>
        <v>0.60460327322430807</v>
      </c>
      <c r="AJ130" s="132">
        <f t="shared" si="68"/>
        <v>4.0999999999999996</v>
      </c>
      <c r="AK130" s="1">
        <f t="shared" si="69"/>
        <v>5.0355955181311192</v>
      </c>
      <c r="AL130" s="1">
        <f t="shared" si="84"/>
        <v>0.50714444444444429</v>
      </c>
      <c r="AM130" s="1">
        <f t="shared" si="91"/>
        <v>0.15427500000000002</v>
      </c>
      <c r="AN130" s="136">
        <f t="shared" si="85"/>
        <v>9.7299999999999998E-2</v>
      </c>
      <c r="AO130" s="133">
        <f t="shared" si="71"/>
        <v>0.75871944444444428</v>
      </c>
      <c r="AP130" s="132">
        <f t="shared" si="86"/>
        <v>0.24913470833333323</v>
      </c>
      <c r="AQ130" s="137">
        <f t="shared" si="87"/>
        <v>0.62759124999999982</v>
      </c>
      <c r="AR130" s="137">
        <f t="shared" si="88"/>
        <v>4.147588250013759E-2</v>
      </c>
      <c r="AS130" s="1">
        <f t="shared" si="89"/>
        <v>5.9279999999999999E-2</v>
      </c>
      <c r="AT130" s="133">
        <f t="shared" si="90"/>
        <v>4.8000000000000001E-2</v>
      </c>
      <c r="AU130" s="132">
        <f t="shared" si="72"/>
        <v>3.0163958085022231</v>
      </c>
      <c r="AV130" s="1">
        <f t="shared" si="73"/>
        <v>73.8</v>
      </c>
      <c r="AW130" s="133">
        <f t="shared" si="74"/>
        <v>96.073239603662373</v>
      </c>
    </row>
    <row r="131" spans="17:49" x14ac:dyDescent="0.25">
      <c r="Q131">
        <v>124</v>
      </c>
      <c r="R131" s="132">
        <f t="shared" si="46"/>
        <v>18</v>
      </c>
      <c r="S131" s="1">
        <f t="shared" si="47"/>
        <v>4.1333333333333329</v>
      </c>
      <c r="T131" s="1">
        <f t="shared" si="76"/>
        <v>12</v>
      </c>
      <c r="U131" s="133">
        <f t="shared" si="77"/>
        <v>6.1999999999999993</v>
      </c>
      <c r="V131" s="132">
        <f>IF(Calculations!$B$17=3,2,IF((S131*R131/T131)&lt;((T131*(1-(T131/R131)))/(2*Lm*fsw)),1,2))</f>
        <v>2</v>
      </c>
      <c r="W131" s="1">
        <f t="shared" si="78"/>
        <v>0.33333333333333337</v>
      </c>
      <c r="X131" s="133">
        <f t="shared" si="79"/>
        <v>0.66666666666666663</v>
      </c>
      <c r="Y131" s="132">
        <f t="shared" si="80"/>
        <v>1.6</v>
      </c>
      <c r="Z131" s="1">
        <f t="shared" si="63"/>
        <v>6.9999999999999991</v>
      </c>
      <c r="AA131" s="1">
        <f t="shared" si="64"/>
        <v>6.2171804970849385</v>
      </c>
      <c r="AB131" s="1">
        <v>0</v>
      </c>
      <c r="AC131" s="1">
        <f t="shared" si="81"/>
        <v>0.63777999999999979</v>
      </c>
      <c r="AD131" s="133">
        <f t="shared" si="65"/>
        <v>0.63777999999999979</v>
      </c>
      <c r="AE131" s="132">
        <f t="shared" si="75"/>
        <v>2.0666666666666669</v>
      </c>
      <c r="AF131" s="1">
        <f t="shared" si="66"/>
        <v>3.5894908335924809</v>
      </c>
      <c r="AG131" s="1">
        <f t="shared" si="82"/>
        <v>0.25768888888888891</v>
      </c>
      <c r="AH131" s="1">
        <f t="shared" si="83"/>
        <v>0.35388496198584268</v>
      </c>
      <c r="AI131" s="133">
        <f t="shared" si="67"/>
        <v>0.61157385087473159</v>
      </c>
      <c r="AJ131" s="132">
        <f t="shared" si="68"/>
        <v>4.1333333333333329</v>
      </c>
      <c r="AK131" s="1">
        <f t="shared" si="69"/>
        <v>5.076306618880392</v>
      </c>
      <c r="AL131" s="1">
        <f t="shared" si="84"/>
        <v>0.5153777777777776</v>
      </c>
      <c r="AM131" s="1">
        <f t="shared" si="91"/>
        <v>0.15427500000000002</v>
      </c>
      <c r="AN131" s="136">
        <f t="shared" si="85"/>
        <v>9.799999999999999E-2</v>
      </c>
      <c r="AO131" s="133">
        <f t="shared" si="71"/>
        <v>0.76765277777777763</v>
      </c>
      <c r="AP131" s="132">
        <f t="shared" si="86"/>
        <v>0.25317933333333326</v>
      </c>
      <c r="AQ131" s="137">
        <f t="shared" si="87"/>
        <v>0.63777999999999979</v>
      </c>
      <c r="AR131" s="137">
        <f t="shared" si="88"/>
        <v>4.147588250013759E-2</v>
      </c>
      <c r="AS131" s="1">
        <f t="shared" si="89"/>
        <v>5.9279999999999999E-2</v>
      </c>
      <c r="AT131" s="133">
        <f t="shared" si="90"/>
        <v>4.8000000000000001E-2</v>
      </c>
      <c r="AU131" s="132">
        <f t="shared" si="72"/>
        <v>3.0567218444859794</v>
      </c>
      <c r="AV131" s="1">
        <f t="shared" si="73"/>
        <v>74.399999999999991</v>
      </c>
      <c r="AW131" s="133">
        <f t="shared" si="74"/>
        <v>96.053639023578711</v>
      </c>
    </row>
    <row r="132" spans="17:49" x14ac:dyDescent="0.25">
      <c r="Q132">
        <v>125</v>
      </c>
      <c r="R132" s="132">
        <f t="shared" si="46"/>
        <v>18</v>
      </c>
      <c r="S132" s="1">
        <f t="shared" si="47"/>
        <v>4.166666666666667</v>
      </c>
      <c r="T132" s="1">
        <f t="shared" si="76"/>
        <v>12</v>
      </c>
      <c r="U132" s="133">
        <f t="shared" si="77"/>
        <v>6.25</v>
      </c>
      <c r="V132" s="132">
        <f>IF(Calculations!$B$17=3,2,IF((S132*R132/T132)&lt;((T132*(1-(T132/R132)))/(2*Lm*fsw)),1,2))</f>
        <v>2</v>
      </c>
      <c r="W132" s="1">
        <f t="shared" si="78"/>
        <v>0.33333333333333337</v>
      </c>
      <c r="X132" s="133">
        <f t="shared" si="79"/>
        <v>0.66666666666666663</v>
      </c>
      <c r="Y132" s="132">
        <f t="shared" si="80"/>
        <v>1.6</v>
      </c>
      <c r="Z132" s="1">
        <f t="shared" si="63"/>
        <v>7.05</v>
      </c>
      <c r="AA132" s="1">
        <f t="shared" si="64"/>
        <v>6.2670434283905623</v>
      </c>
      <c r="AB132" s="1">
        <v>0</v>
      </c>
      <c r="AC132" s="1">
        <f t="shared" si="81"/>
        <v>0.64805124999999997</v>
      </c>
      <c r="AD132" s="133">
        <f t="shared" si="65"/>
        <v>0.64805124999999997</v>
      </c>
      <c r="AE132" s="132">
        <f t="shared" si="75"/>
        <v>2.0833333333333335</v>
      </c>
      <c r="AF132" s="1">
        <f t="shared" si="66"/>
        <v>3.6182792104043666</v>
      </c>
      <c r="AG132" s="1">
        <f t="shared" si="82"/>
        <v>0.26183888888888895</v>
      </c>
      <c r="AH132" s="1">
        <f t="shared" si="83"/>
        <v>0.3567388729695995</v>
      </c>
      <c r="AI132" s="133">
        <f t="shared" si="67"/>
        <v>0.61857776185848845</v>
      </c>
      <c r="AJ132" s="132">
        <f t="shared" si="68"/>
        <v>4.1666666666666661</v>
      </c>
      <c r="AK132" s="1">
        <f t="shared" si="69"/>
        <v>5.1170195318064682</v>
      </c>
      <c r="AL132" s="1">
        <f t="shared" si="84"/>
        <v>0.5236777777777778</v>
      </c>
      <c r="AM132" s="1">
        <f t="shared" si="91"/>
        <v>0.15427500000000002</v>
      </c>
      <c r="AN132" s="136">
        <f t="shared" si="85"/>
        <v>9.8699999999999996E-2</v>
      </c>
      <c r="AO132" s="133">
        <f t="shared" si="71"/>
        <v>0.77665277777777786</v>
      </c>
      <c r="AP132" s="132">
        <f t="shared" si="86"/>
        <v>0.25725670833333331</v>
      </c>
      <c r="AQ132" s="137">
        <f t="shared" si="87"/>
        <v>0.64805124999999997</v>
      </c>
      <c r="AR132" s="137">
        <f t="shared" si="88"/>
        <v>4.147588250013759E-2</v>
      </c>
      <c r="AS132" s="1">
        <f t="shared" si="89"/>
        <v>5.9279999999999999E-2</v>
      </c>
      <c r="AT132" s="133">
        <f t="shared" si="90"/>
        <v>4.8000000000000001E-2</v>
      </c>
      <c r="AU132" s="132">
        <f t="shared" si="72"/>
        <v>3.0973456304697371</v>
      </c>
      <c r="AV132" s="1">
        <f t="shared" si="73"/>
        <v>75</v>
      </c>
      <c r="AW132" s="133">
        <f t="shared" si="74"/>
        <v>96.033993722238236</v>
      </c>
    </row>
    <row r="133" spans="17:49" x14ac:dyDescent="0.25">
      <c r="Q133">
        <v>126</v>
      </c>
      <c r="R133" s="132">
        <f t="shared" si="46"/>
        <v>18</v>
      </c>
      <c r="S133" s="1">
        <f t="shared" si="47"/>
        <v>4.2</v>
      </c>
      <c r="T133" s="1">
        <f t="shared" si="76"/>
        <v>12</v>
      </c>
      <c r="U133" s="133">
        <f t="shared" si="77"/>
        <v>6.3000000000000007</v>
      </c>
      <c r="V133" s="132">
        <f>IF(Calculations!$B$17=3,2,IF((S133*R133/T133)&lt;((T133*(1-(T133/R133)))/(2*Lm*fsw)),1,2))</f>
        <v>2</v>
      </c>
      <c r="W133" s="1">
        <f t="shared" si="78"/>
        <v>0.33333333333333337</v>
      </c>
      <c r="X133" s="133">
        <f t="shared" si="79"/>
        <v>0.66666666666666663</v>
      </c>
      <c r="Y133" s="132">
        <f t="shared" si="80"/>
        <v>1.6</v>
      </c>
      <c r="Z133" s="1">
        <f t="shared" si="63"/>
        <v>7.1000000000000005</v>
      </c>
      <c r="AA133" s="1">
        <f t="shared" si="64"/>
        <v>6.3169085265922078</v>
      </c>
      <c r="AB133" s="1">
        <v>0</v>
      </c>
      <c r="AC133" s="1">
        <f t="shared" si="81"/>
        <v>0.65840500000000013</v>
      </c>
      <c r="AD133" s="133">
        <f t="shared" si="65"/>
        <v>0.65840500000000013</v>
      </c>
      <c r="AE133" s="132">
        <f t="shared" si="75"/>
        <v>2.1000000000000005</v>
      </c>
      <c r="AF133" s="1">
        <f t="shared" si="66"/>
        <v>3.647068838274254</v>
      </c>
      <c r="AG133" s="1">
        <f t="shared" si="82"/>
        <v>0.26602222222222233</v>
      </c>
      <c r="AH133" s="1">
        <f t="shared" si="83"/>
        <v>0.35959278395335631</v>
      </c>
      <c r="AI133" s="133">
        <f t="shared" si="67"/>
        <v>0.62561500617557864</v>
      </c>
      <c r="AJ133" s="132">
        <f t="shared" si="68"/>
        <v>4.2</v>
      </c>
      <c r="AK133" s="1">
        <f t="shared" si="69"/>
        <v>5.1577342139957372</v>
      </c>
      <c r="AL133" s="1">
        <f t="shared" si="84"/>
        <v>0.53204444444444454</v>
      </c>
      <c r="AM133" s="1">
        <f t="shared" si="91"/>
        <v>0.15427500000000002</v>
      </c>
      <c r="AN133" s="136">
        <f t="shared" si="85"/>
        <v>9.9400000000000016E-2</v>
      </c>
      <c r="AO133" s="133">
        <f t="shared" si="71"/>
        <v>0.78571944444444464</v>
      </c>
      <c r="AP133" s="132">
        <f t="shared" si="86"/>
        <v>0.26136683333333333</v>
      </c>
      <c r="AQ133" s="137">
        <f t="shared" si="87"/>
        <v>0.65840500000000013</v>
      </c>
      <c r="AR133" s="137">
        <f t="shared" si="88"/>
        <v>4.147588250013759E-2</v>
      </c>
      <c r="AS133" s="1">
        <f t="shared" si="89"/>
        <v>5.9279999999999999E-2</v>
      </c>
      <c r="AT133" s="133">
        <f t="shared" si="90"/>
        <v>4.8000000000000001E-2</v>
      </c>
      <c r="AU133" s="132">
        <f t="shared" si="72"/>
        <v>3.138267166453494</v>
      </c>
      <c r="AV133" s="1">
        <f t="shared" si="73"/>
        <v>75.600000000000009</v>
      </c>
      <c r="AW133" s="133">
        <f t="shared" si="74"/>
        <v>96.014305014080179</v>
      </c>
    </row>
    <row r="134" spans="17:49" x14ac:dyDescent="0.25">
      <c r="Q134">
        <v>127</v>
      </c>
      <c r="R134" s="132">
        <f t="shared" si="46"/>
        <v>18</v>
      </c>
      <c r="S134" s="1">
        <f t="shared" si="47"/>
        <v>4.2333333333333334</v>
      </c>
      <c r="T134" s="1">
        <f t="shared" si="76"/>
        <v>12</v>
      </c>
      <c r="U134" s="133">
        <f t="shared" si="77"/>
        <v>6.3500000000000005</v>
      </c>
      <c r="V134" s="132">
        <f>IF(Calculations!$B$17=3,2,IF((S134*R134/T134)&lt;((T134*(1-(T134/R134)))/(2*Lm*fsw)),1,2))</f>
        <v>2</v>
      </c>
      <c r="W134" s="1">
        <f t="shared" si="78"/>
        <v>0.33333333333333337</v>
      </c>
      <c r="X134" s="133">
        <f t="shared" si="79"/>
        <v>0.66666666666666663</v>
      </c>
      <c r="Y134" s="132">
        <f t="shared" si="80"/>
        <v>1.6</v>
      </c>
      <c r="Z134" s="1">
        <f t="shared" si="63"/>
        <v>7.15</v>
      </c>
      <c r="AA134" s="1">
        <f t="shared" si="64"/>
        <v>6.3667757407759646</v>
      </c>
      <c r="AB134" s="1">
        <v>0</v>
      </c>
      <c r="AC134" s="1">
        <f t="shared" si="81"/>
        <v>0.66884125000000005</v>
      </c>
      <c r="AD134" s="133">
        <f t="shared" si="65"/>
        <v>0.66884125000000005</v>
      </c>
      <c r="AE134" s="132">
        <f t="shared" si="75"/>
        <v>2.1166666666666671</v>
      </c>
      <c r="AF134" s="1">
        <f t="shared" si="66"/>
        <v>3.6758596878069825</v>
      </c>
      <c r="AG134" s="1">
        <f t="shared" si="82"/>
        <v>0.27023888888888897</v>
      </c>
      <c r="AH134" s="1">
        <f t="shared" si="83"/>
        <v>0.36244669493711312</v>
      </c>
      <c r="AI134" s="133">
        <f t="shared" si="67"/>
        <v>0.63268558382600215</v>
      </c>
      <c r="AJ134" s="132">
        <f t="shared" si="68"/>
        <v>4.2333333333333334</v>
      </c>
      <c r="AK134" s="1">
        <f t="shared" si="69"/>
        <v>5.1984506238771644</v>
      </c>
      <c r="AL134" s="1">
        <f t="shared" si="84"/>
        <v>0.54047777777777761</v>
      </c>
      <c r="AM134" s="1">
        <f t="shared" si="91"/>
        <v>0.15427500000000002</v>
      </c>
      <c r="AN134" s="136">
        <f t="shared" si="85"/>
        <v>0.10010000000000001</v>
      </c>
      <c r="AO134" s="133">
        <f t="shared" si="71"/>
        <v>0.79485277777777763</v>
      </c>
      <c r="AP134" s="132">
        <f t="shared" si="86"/>
        <v>0.26550970833333332</v>
      </c>
      <c r="AQ134" s="137">
        <f t="shared" si="87"/>
        <v>0.66884125000000005</v>
      </c>
      <c r="AR134" s="137">
        <f t="shared" si="88"/>
        <v>4.147588250013759E-2</v>
      </c>
      <c r="AS134" s="1">
        <f t="shared" si="89"/>
        <v>5.9279999999999999E-2</v>
      </c>
      <c r="AT134" s="133">
        <f t="shared" si="90"/>
        <v>4.8000000000000001E-2</v>
      </c>
      <c r="AU134" s="132">
        <f t="shared" si="72"/>
        <v>3.1794864524372506</v>
      </c>
      <c r="AV134" s="1">
        <f t="shared" si="73"/>
        <v>76.2</v>
      </c>
      <c r="AW134" s="133">
        <f t="shared" si="74"/>
        <v>95.994574172078657</v>
      </c>
    </row>
    <row r="135" spans="17:49" x14ac:dyDescent="0.25">
      <c r="Q135">
        <v>128</v>
      </c>
      <c r="R135" s="132">
        <f t="shared" ref="R135:R157" si="92">VOUT</f>
        <v>18</v>
      </c>
      <c r="S135" s="1">
        <f t="shared" ref="S135:S157" si="93">Q135*$O$12</f>
        <v>4.2666666666666666</v>
      </c>
      <c r="T135" s="1">
        <f t="shared" ref="T135:T157" si="94">Vin_vari</f>
        <v>12</v>
      </c>
      <c r="U135" s="133">
        <f t="shared" ref="U135:U157" si="95">(R135*S135)/(T135*EFF_est)</f>
        <v>6.3999999999999995</v>
      </c>
      <c r="V135" s="132">
        <f>IF(Calculations!$B$17=3,2,IF((S135*R135/T135)&lt;((T135*(1-(T135/R135)))/(2*Lm*fsw)),1,2))</f>
        <v>2</v>
      </c>
      <c r="W135" s="1">
        <f t="shared" ref="W135:W157" si="96">CHOOSE(V135,SQRT((2*S135*Lm*fsw*(R135-T135))/((T135)^2)),1-(T135/R135))</f>
        <v>0.33333333333333337</v>
      </c>
      <c r="X135" s="133">
        <f t="shared" ref="X135:X157" si="97">CHOOSE(V135,(Lm*Z135*fsw)/(R135-T135),1-W135)</f>
        <v>0.66666666666666663</v>
      </c>
      <c r="Y135" s="132">
        <f t="shared" ref="Y135:Y157" si="98">(T135*W135)/(Lm*fsw)</f>
        <v>1.6</v>
      </c>
      <c r="Z135" s="1">
        <f t="shared" si="63"/>
        <v>7.1999999999999993</v>
      </c>
      <c r="AA135" s="1">
        <f t="shared" si="64"/>
        <v>6.416645021608514</v>
      </c>
      <c r="AB135" s="1">
        <v>0</v>
      </c>
      <c r="AC135" s="1">
        <f t="shared" ref="AC135:AC157" si="99">(AA135^2)*Rdcr</f>
        <v>0.67935999999999985</v>
      </c>
      <c r="AD135" s="133">
        <f t="shared" si="65"/>
        <v>0.67935999999999985</v>
      </c>
      <c r="AE135" s="132">
        <f t="shared" si="75"/>
        <v>2.1333333333333333</v>
      </c>
      <c r="AF135" s="1">
        <f t="shared" si="66"/>
        <v>3.7046517305199473</v>
      </c>
      <c r="AG135" s="1">
        <f t="shared" ref="AG135:AG157" si="100">(AF135^2)*RDS_on</f>
        <v>0.27448888888888884</v>
      </c>
      <c r="AH135" s="1">
        <f t="shared" ref="AH135:AH157" si="101">((R135*U135)/2)*fsw*(tr_sw+tf_sw)</f>
        <v>0.36530060592086983</v>
      </c>
      <c r="AI135" s="133">
        <f t="shared" si="67"/>
        <v>0.63978949480975866</v>
      </c>
      <c r="AJ135" s="132">
        <f t="shared" si="68"/>
        <v>4.2666666666666657</v>
      </c>
      <c r="AK135" s="1">
        <f t="shared" si="69"/>
        <v>5.239168721170266</v>
      </c>
      <c r="AL135" s="1">
        <f t="shared" ref="AL135:AL157" si="102">(AK135^2)*RDS_on_HS</f>
        <v>0.54897777777777768</v>
      </c>
      <c r="AM135" s="1">
        <f t="shared" si="91"/>
        <v>0.15427500000000002</v>
      </c>
      <c r="AN135" s="136">
        <f t="shared" ref="AN135:AN157" si="103">Vd_rect*t_dead*fsw*Z135</f>
        <v>0.10079999999999999</v>
      </c>
      <c r="AO135" s="133">
        <f t="shared" si="71"/>
        <v>0.80405277777777773</v>
      </c>
      <c r="AP135" s="132">
        <f t="shared" ref="AP135:AP157" si="104">(AA135^2)*Rcs</f>
        <v>0.26968533333333328</v>
      </c>
      <c r="AQ135" s="137">
        <f t="shared" ref="AQ135:AQ157" si="105">Rdcr*AA135^2</f>
        <v>0.67935999999999985</v>
      </c>
      <c r="AR135" s="137">
        <f t="shared" ref="AR135:AR157" si="106">ABS(7.759*10^-3*fsw^0.9458*(0.00787*Y135)^2.304)</f>
        <v>4.147588250013759E-2</v>
      </c>
      <c r="AS135" s="1">
        <f t="shared" ref="AS135:AS157" si="107">(Qg_tot+Qg_tot_HS)*VCC*fsw</f>
        <v>5.9279999999999999E-2</v>
      </c>
      <c r="AT135" s="133">
        <f t="shared" ref="AT135:AT157" si="108">IQ*T135</f>
        <v>4.8000000000000001E-2</v>
      </c>
      <c r="AU135" s="132">
        <f t="shared" si="72"/>
        <v>3.2210034884210068</v>
      </c>
      <c r="AV135" s="1">
        <f t="shared" si="73"/>
        <v>76.8</v>
      </c>
      <c r="AW135" s="133">
        <f t="shared" si="74"/>
        <v>95.974802429355833</v>
      </c>
    </row>
    <row r="136" spans="17:49" x14ac:dyDescent="0.25">
      <c r="Q136">
        <v>129</v>
      </c>
      <c r="R136" s="132">
        <f t="shared" si="92"/>
        <v>18</v>
      </c>
      <c r="S136" s="1">
        <f t="shared" si="93"/>
        <v>4.3</v>
      </c>
      <c r="T136" s="1">
        <f t="shared" si="94"/>
        <v>12</v>
      </c>
      <c r="U136" s="133">
        <f t="shared" si="95"/>
        <v>6.4499999999999993</v>
      </c>
      <c r="V136" s="132">
        <f>IF(Calculations!$B$17=3,2,IF((S136*R136/T136)&lt;((T136*(1-(T136/R136)))/(2*Lm*fsw)),1,2))</f>
        <v>2</v>
      </c>
      <c r="W136" s="1">
        <f t="shared" si="96"/>
        <v>0.33333333333333337</v>
      </c>
      <c r="X136" s="133">
        <f t="shared" si="97"/>
        <v>0.66666666666666663</v>
      </c>
      <c r="Y136" s="132">
        <f t="shared" si="98"/>
        <v>1.6</v>
      </c>
      <c r="Z136" s="1">
        <f t="shared" ref="Z136:Z157" si="109">CHOOSE(V136,Y136,U136+(0.5*Y136))</f>
        <v>7.2499999999999991</v>
      </c>
      <c r="AA136" s="1">
        <f t="shared" ref="AA136:AA157" si="110">CHOOSE(V136,Z136*SQRT((W136+X136)/3),SQRT((U136^2)+((Y136^2)/12)))</f>
        <v>6.4665163212763428</v>
      </c>
      <c r="AB136" s="1">
        <v>0</v>
      </c>
      <c r="AC136" s="1">
        <f t="shared" si="99"/>
        <v>0.68996124999999986</v>
      </c>
      <c r="AD136" s="133">
        <f t="shared" ref="AD136:AD157" si="111">AB136+AC136</f>
        <v>0.68996124999999986</v>
      </c>
      <c r="AE136" s="132">
        <f t="shared" si="75"/>
        <v>2.15</v>
      </c>
      <c r="AF136" s="1">
        <f t="shared" ref="AF136:AF157" si="112">CHOOSE(V136,Z136*SQRT(W136/3),SQRT(W136*((Z136^2)+((Y136^2)/3)-(Z136*Y136))))</f>
        <v>3.7334449388080051</v>
      </c>
      <c r="AG136" s="1">
        <f t="shared" si="100"/>
        <v>0.2787722222222222</v>
      </c>
      <c r="AH136" s="1">
        <f t="shared" si="101"/>
        <v>0.36815451690462669</v>
      </c>
      <c r="AI136" s="133">
        <f t="shared" ref="AI136:AI157" si="113">AG136+AH136</f>
        <v>0.64692673912684895</v>
      </c>
      <c r="AJ136" s="132">
        <f t="shared" ref="AJ136:AJ156" si="114">X136*U136</f>
        <v>4.2999999999999989</v>
      </c>
      <c r="AK136" s="1">
        <f t="shared" ref="AK136:AK157" si="115">CHOOSE(V136,Z136*SQRT(X136/3),SQRT(X136*((Z136^2)+((Y136^2)/3)-(Y136*Z136))))</f>
        <v>5.2798884668354695</v>
      </c>
      <c r="AL136" s="1">
        <f t="shared" si="102"/>
        <v>0.55754444444444407</v>
      </c>
      <c r="AM136" s="1">
        <f t="shared" ref="AM136:AM157" si="116">CHOOSE(V136,(R136+Vd_rect)*Qrr*fsw,(R136+Vd_rect)*Qrr*fsw)</f>
        <v>0.15427500000000002</v>
      </c>
      <c r="AN136" s="136">
        <f t="shared" si="103"/>
        <v>0.10149999999999999</v>
      </c>
      <c r="AO136" s="133">
        <f t="shared" ref="AO136:AO157" si="117">AL136+AM136+AN136</f>
        <v>0.81331944444444415</v>
      </c>
      <c r="AP136" s="132">
        <f t="shared" si="104"/>
        <v>0.27389370833333326</v>
      </c>
      <c r="AQ136" s="137">
        <f t="shared" si="105"/>
        <v>0.68996124999999986</v>
      </c>
      <c r="AR136" s="137">
        <f t="shared" si="106"/>
        <v>4.147588250013759E-2</v>
      </c>
      <c r="AS136" s="1">
        <f t="shared" si="107"/>
        <v>5.9279999999999999E-2</v>
      </c>
      <c r="AT136" s="133">
        <f t="shared" si="108"/>
        <v>4.8000000000000001E-2</v>
      </c>
      <c r="AU136" s="132">
        <f t="shared" ref="AU136:AU157" si="118">AP136+AO136+AI136+AD136+AS136+AT136+AQ136+AR136</f>
        <v>3.2628182744047636</v>
      </c>
      <c r="AV136" s="1">
        <f t="shared" ref="AV136:AV157" si="119">R136*S136</f>
        <v>77.399999999999991</v>
      </c>
      <c r="AW136" s="133">
        <f t="shared" ref="AW136:AW156" si="120">(AV136/(AV136+AU136))*100</f>
        <v>95.954990980720424</v>
      </c>
    </row>
    <row r="137" spans="17:49" x14ac:dyDescent="0.25">
      <c r="Q137">
        <v>130</v>
      </c>
      <c r="R137" s="132">
        <f t="shared" si="92"/>
        <v>18</v>
      </c>
      <c r="S137" s="1">
        <f t="shared" si="93"/>
        <v>4.333333333333333</v>
      </c>
      <c r="T137" s="1">
        <f t="shared" si="94"/>
        <v>12</v>
      </c>
      <c r="U137" s="133">
        <f t="shared" si="95"/>
        <v>6.5</v>
      </c>
      <c r="V137" s="132">
        <f>IF(Calculations!$B$17=3,2,IF((S137*R137/T137)&lt;((T137*(1-(T137/R137)))/(2*Lm*fsw)),1,2))</f>
        <v>2</v>
      </c>
      <c r="W137" s="1">
        <f t="shared" si="96"/>
        <v>0.33333333333333337</v>
      </c>
      <c r="X137" s="133">
        <f t="shared" si="97"/>
        <v>0.66666666666666663</v>
      </c>
      <c r="Y137" s="132">
        <f t="shared" si="98"/>
        <v>1.6</v>
      </c>
      <c r="Z137" s="1">
        <f t="shared" si="109"/>
        <v>7.3</v>
      </c>
      <c r="AA137" s="1">
        <f t="shared" si="110"/>
        <v>6.5163895934277392</v>
      </c>
      <c r="AB137" s="1">
        <v>0</v>
      </c>
      <c r="AC137" s="1">
        <f t="shared" si="99"/>
        <v>0.70064500000000007</v>
      </c>
      <c r="AD137" s="133">
        <f t="shared" si="111"/>
        <v>0.70064500000000007</v>
      </c>
      <c r="AE137" s="132">
        <f t="shared" ref="AE137:AE157" si="121">U137*W137</f>
        <v>2.166666666666667</v>
      </c>
      <c r="AF137" s="1">
        <f t="shared" si="112"/>
        <v>3.7622392859099811</v>
      </c>
      <c r="AG137" s="1">
        <f t="shared" si="100"/>
        <v>0.28308888888888889</v>
      </c>
      <c r="AH137" s="1">
        <f t="shared" si="101"/>
        <v>0.37100842788838345</v>
      </c>
      <c r="AI137" s="133">
        <f t="shared" si="113"/>
        <v>0.65409731677727234</v>
      </c>
      <c r="AJ137" s="132">
        <f t="shared" si="114"/>
        <v>4.333333333333333</v>
      </c>
      <c r="AK137" s="1">
        <f t="shared" si="115"/>
        <v>5.3206098230267633</v>
      </c>
      <c r="AL137" s="1">
        <f t="shared" si="102"/>
        <v>0.56617777777777778</v>
      </c>
      <c r="AM137" s="1">
        <f t="shared" si="116"/>
        <v>0.15427500000000002</v>
      </c>
      <c r="AN137" s="136">
        <f t="shared" si="103"/>
        <v>0.1022</v>
      </c>
      <c r="AO137" s="133">
        <f t="shared" si="117"/>
        <v>0.82265277777777779</v>
      </c>
      <c r="AP137" s="132">
        <f t="shared" si="104"/>
        <v>0.27813483333333333</v>
      </c>
      <c r="AQ137" s="137">
        <f t="shared" si="105"/>
        <v>0.70064500000000007</v>
      </c>
      <c r="AR137" s="137">
        <f t="shared" si="106"/>
        <v>4.147588250013759E-2</v>
      </c>
      <c r="AS137" s="1">
        <f t="shared" si="107"/>
        <v>5.9279999999999999E-2</v>
      </c>
      <c r="AT137" s="133">
        <f t="shared" si="108"/>
        <v>4.8000000000000001E-2</v>
      </c>
      <c r="AU137" s="132">
        <f t="shared" si="118"/>
        <v>3.3049308103885213</v>
      </c>
      <c r="AV137" s="1">
        <f t="shared" si="119"/>
        <v>78</v>
      </c>
      <c r="AW137" s="133">
        <f t="shared" si="120"/>
        <v>95.93514098413543</v>
      </c>
    </row>
    <row r="138" spans="17:49" x14ac:dyDescent="0.25">
      <c r="Q138">
        <v>131</v>
      </c>
      <c r="R138" s="132">
        <f t="shared" si="92"/>
        <v>18</v>
      </c>
      <c r="S138" s="1">
        <f t="shared" si="93"/>
        <v>4.3666666666666663</v>
      </c>
      <c r="T138" s="1">
        <f t="shared" si="94"/>
        <v>12</v>
      </c>
      <c r="U138" s="133">
        <f t="shared" si="95"/>
        <v>6.55</v>
      </c>
      <c r="V138" s="132">
        <f>IF(Calculations!$B$17=3,2,IF((S138*R138/T138)&lt;((T138*(1-(T138/R138)))/(2*Lm*fsw)),1,2))</f>
        <v>2</v>
      </c>
      <c r="W138" s="1">
        <f t="shared" si="96"/>
        <v>0.33333333333333337</v>
      </c>
      <c r="X138" s="133">
        <f t="shared" si="97"/>
        <v>0.66666666666666663</v>
      </c>
      <c r="Y138" s="132">
        <f t="shared" si="98"/>
        <v>1.6</v>
      </c>
      <c r="Z138" s="1">
        <f t="shared" si="109"/>
        <v>7.35</v>
      </c>
      <c r="AA138" s="1">
        <f t="shared" si="110"/>
        <v>6.5662647931174183</v>
      </c>
      <c r="AB138" s="1">
        <v>0</v>
      </c>
      <c r="AC138" s="1">
        <f t="shared" si="99"/>
        <v>0.71141125000000005</v>
      </c>
      <c r="AD138" s="133">
        <f t="shared" si="111"/>
        <v>0.71141125000000005</v>
      </c>
      <c r="AE138" s="132">
        <f t="shared" si="121"/>
        <v>2.1833333333333336</v>
      </c>
      <c r="AF138" s="1">
        <f t="shared" si="112"/>
        <v>3.7910347458767037</v>
      </c>
      <c r="AG138" s="1">
        <f t="shared" si="100"/>
        <v>0.28743888888888885</v>
      </c>
      <c r="AH138" s="1">
        <f t="shared" si="101"/>
        <v>0.37386233887214021</v>
      </c>
      <c r="AI138" s="133">
        <f t="shared" si="113"/>
        <v>0.66130122776102906</v>
      </c>
      <c r="AJ138" s="132">
        <f t="shared" si="114"/>
        <v>4.3666666666666663</v>
      </c>
      <c r="AK138" s="1">
        <f t="shared" si="115"/>
        <v>5.3613327530464741</v>
      </c>
      <c r="AL138" s="1">
        <f t="shared" si="102"/>
        <v>0.57487777777777771</v>
      </c>
      <c r="AM138" s="1">
        <f t="shared" si="116"/>
        <v>0.15427500000000002</v>
      </c>
      <c r="AN138" s="136">
        <f t="shared" si="103"/>
        <v>0.10289999999999999</v>
      </c>
      <c r="AO138" s="133">
        <f t="shared" si="117"/>
        <v>0.83205277777777775</v>
      </c>
      <c r="AP138" s="132">
        <f t="shared" si="104"/>
        <v>0.28240870833333331</v>
      </c>
      <c r="AQ138" s="137">
        <f t="shared" si="105"/>
        <v>0.71141125000000005</v>
      </c>
      <c r="AR138" s="137">
        <f t="shared" si="106"/>
        <v>4.147588250013759E-2</v>
      </c>
      <c r="AS138" s="1">
        <f t="shared" si="107"/>
        <v>5.9279999999999999E-2</v>
      </c>
      <c r="AT138" s="133">
        <f t="shared" si="108"/>
        <v>4.8000000000000001E-2</v>
      </c>
      <c r="AU138" s="132">
        <f t="shared" si="118"/>
        <v>3.3473410963722778</v>
      </c>
      <c r="AV138" s="1">
        <f t="shared" si="119"/>
        <v>78.599999999999994</v>
      </c>
      <c r="AW138" s="133">
        <f t="shared" si="120"/>
        <v>95.915253562118991</v>
      </c>
    </row>
    <row r="139" spans="17:49" x14ac:dyDescent="0.25">
      <c r="Q139">
        <v>132</v>
      </c>
      <c r="R139" s="132">
        <f t="shared" si="92"/>
        <v>18</v>
      </c>
      <c r="S139" s="1">
        <f t="shared" si="93"/>
        <v>4.4000000000000004</v>
      </c>
      <c r="T139" s="1">
        <f t="shared" si="94"/>
        <v>12</v>
      </c>
      <c r="U139" s="133">
        <f t="shared" si="95"/>
        <v>6.6000000000000005</v>
      </c>
      <c r="V139" s="132">
        <f>IF(Calculations!$B$17=3,2,IF((S139*R139/T139)&lt;((T139*(1-(T139/R139)))/(2*Lm*fsw)),1,2))</f>
        <v>2</v>
      </c>
      <c r="W139" s="1">
        <f t="shared" si="96"/>
        <v>0.33333333333333337</v>
      </c>
      <c r="X139" s="133">
        <f t="shared" si="97"/>
        <v>0.66666666666666663</v>
      </c>
      <c r="Y139" s="132">
        <f t="shared" si="98"/>
        <v>1.6</v>
      </c>
      <c r="Z139" s="1">
        <f t="shared" si="109"/>
        <v>7.4</v>
      </c>
      <c r="AA139" s="1">
        <f t="shared" si="110"/>
        <v>6.6161418767536526</v>
      </c>
      <c r="AB139" s="1">
        <v>0</v>
      </c>
      <c r="AC139" s="1">
        <f t="shared" si="99"/>
        <v>0.72226000000000024</v>
      </c>
      <c r="AD139" s="133">
        <f t="shared" si="111"/>
        <v>0.72226000000000024</v>
      </c>
      <c r="AE139" s="132">
        <f t="shared" si="121"/>
        <v>2.2000000000000006</v>
      </c>
      <c r="AF139" s="1">
        <f t="shared" si="112"/>
        <v>3.819831293540477</v>
      </c>
      <c r="AG139" s="1">
        <f t="shared" si="100"/>
        <v>0.29182222222222232</v>
      </c>
      <c r="AH139" s="1">
        <f t="shared" si="101"/>
        <v>0.37671624985589713</v>
      </c>
      <c r="AI139" s="133">
        <f t="shared" si="113"/>
        <v>0.66853847207811945</v>
      </c>
      <c r="AJ139" s="132">
        <f t="shared" si="114"/>
        <v>4.4000000000000004</v>
      </c>
      <c r="AK139" s="1">
        <f t="shared" si="115"/>
        <v>5.4020572213021056</v>
      </c>
      <c r="AL139" s="1">
        <f t="shared" si="102"/>
        <v>0.58364444444444452</v>
      </c>
      <c r="AM139" s="1">
        <f t="shared" si="116"/>
        <v>0.15427500000000002</v>
      </c>
      <c r="AN139" s="136">
        <f t="shared" si="103"/>
        <v>0.10360000000000001</v>
      </c>
      <c r="AO139" s="133">
        <f t="shared" si="117"/>
        <v>0.8415194444444446</v>
      </c>
      <c r="AP139" s="132">
        <f t="shared" si="104"/>
        <v>0.28671533333333338</v>
      </c>
      <c r="AQ139" s="137">
        <f t="shared" si="105"/>
        <v>0.72226000000000024</v>
      </c>
      <c r="AR139" s="137">
        <f t="shared" si="106"/>
        <v>4.147588250013759E-2</v>
      </c>
      <c r="AS139" s="1">
        <f t="shared" si="107"/>
        <v>5.9279999999999999E-2</v>
      </c>
      <c r="AT139" s="133">
        <f t="shared" si="108"/>
        <v>4.8000000000000001E-2</v>
      </c>
      <c r="AU139" s="132">
        <f t="shared" si="118"/>
        <v>3.3900491323560353</v>
      </c>
      <c r="AV139" s="1">
        <f t="shared" si="119"/>
        <v>79.2</v>
      </c>
      <c r="AW139" s="133">
        <f t="shared" si="120"/>
        <v>95.895329803081651</v>
      </c>
    </row>
    <row r="140" spans="17:49" x14ac:dyDescent="0.25">
      <c r="Q140">
        <v>133</v>
      </c>
      <c r="R140" s="132">
        <f t="shared" si="92"/>
        <v>18</v>
      </c>
      <c r="S140" s="1">
        <f t="shared" si="93"/>
        <v>4.4333333333333336</v>
      </c>
      <c r="T140" s="1">
        <f t="shared" si="94"/>
        <v>12</v>
      </c>
      <c r="U140" s="133">
        <f t="shared" si="95"/>
        <v>6.6500000000000012</v>
      </c>
      <c r="V140" s="132">
        <f>IF(Calculations!$B$17=3,2,IF((S140*R140/T140)&lt;((T140*(1-(T140/R140)))/(2*Lm*fsw)),1,2))</f>
        <v>2</v>
      </c>
      <c r="W140" s="1">
        <f t="shared" si="96"/>
        <v>0.33333333333333337</v>
      </c>
      <c r="X140" s="133">
        <f t="shared" si="97"/>
        <v>0.66666666666666663</v>
      </c>
      <c r="Y140" s="132">
        <f t="shared" si="98"/>
        <v>1.6</v>
      </c>
      <c r="Z140" s="1">
        <f t="shared" si="109"/>
        <v>7.4500000000000011</v>
      </c>
      <c r="AA140" s="1">
        <f t="shared" si="110"/>
        <v>6.6660208020477514</v>
      </c>
      <c r="AB140" s="1">
        <v>0</v>
      </c>
      <c r="AC140" s="1">
        <f t="shared" si="99"/>
        <v>0.73319125000000029</v>
      </c>
      <c r="AD140" s="133">
        <f t="shared" si="111"/>
        <v>0.73319125000000029</v>
      </c>
      <c r="AE140" s="132">
        <f t="shared" si="121"/>
        <v>2.2166666666666672</v>
      </c>
      <c r="AF140" s="1">
        <f t="shared" si="112"/>
        <v>3.8486289044859148</v>
      </c>
      <c r="AG140" s="1">
        <f t="shared" si="100"/>
        <v>0.29623888888888905</v>
      </c>
      <c r="AH140" s="1">
        <f t="shared" si="101"/>
        <v>0.37957016083965389</v>
      </c>
      <c r="AI140" s="133">
        <f t="shared" si="113"/>
        <v>0.67580904972854294</v>
      </c>
      <c r="AJ140" s="132">
        <f t="shared" si="114"/>
        <v>4.4333333333333336</v>
      </c>
      <c r="AK140" s="1">
        <f t="shared" si="115"/>
        <v>5.442783193265087</v>
      </c>
      <c r="AL140" s="1">
        <f t="shared" si="102"/>
        <v>0.59247777777777788</v>
      </c>
      <c r="AM140" s="1">
        <f t="shared" si="116"/>
        <v>0.15427500000000002</v>
      </c>
      <c r="AN140" s="136">
        <f t="shared" si="103"/>
        <v>0.10430000000000002</v>
      </c>
      <c r="AO140" s="133">
        <f t="shared" si="117"/>
        <v>0.85105277777777799</v>
      </c>
      <c r="AP140" s="132">
        <f t="shared" si="104"/>
        <v>0.29105470833333341</v>
      </c>
      <c r="AQ140" s="137">
        <f t="shared" si="105"/>
        <v>0.73319125000000029</v>
      </c>
      <c r="AR140" s="137">
        <f t="shared" si="106"/>
        <v>4.147588250013759E-2</v>
      </c>
      <c r="AS140" s="1">
        <f t="shared" si="107"/>
        <v>5.9279999999999999E-2</v>
      </c>
      <c r="AT140" s="133">
        <f t="shared" si="108"/>
        <v>4.8000000000000001E-2</v>
      </c>
      <c r="AU140" s="132">
        <f t="shared" si="118"/>
        <v>3.4330549183397929</v>
      </c>
      <c r="AV140" s="1">
        <f t="shared" si="119"/>
        <v>79.800000000000011</v>
      </c>
      <c r="AW140" s="133">
        <f t="shared" si="120"/>
        <v>95.875370762603907</v>
      </c>
    </row>
    <row r="141" spans="17:49" x14ac:dyDescent="0.25">
      <c r="Q141">
        <v>134</v>
      </c>
      <c r="R141" s="132">
        <f t="shared" si="92"/>
        <v>18</v>
      </c>
      <c r="S141" s="1">
        <f t="shared" si="93"/>
        <v>4.4666666666666668</v>
      </c>
      <c r="T141" s="1">
        <f t="shared" si="94"/>
        <v>12</v>
      </c>
      <c r="U141" s="133">
        <f t="shared" si="95"/>
        <v>6.7</v>
      </c>
      <c r="V141" s="132">
        <f>IF(Calculations!$B$17=3,2,IF((S141*R141/T141)&lt;((T141*(1-(T141/R141)))/(2*Lm*fsw)),1,2))</f>
        <v>2</v>
      </c>
      <c r="W141" s="1">
        <f t="shared" si="96"/>
        <v>0.33333333333333337</v>
      </c>
      <c r="X141" s="133">
        <f t="shared" si="97"/>
        <v>0.66666666666666663</v>
      </c>
      <c r="Y141" s="132">
        <f t="shared" si="98"/>
        <v>1.6</v>
      </c>
      <c r="Z141" s="1">
        <f t="shared" si="109"/>
        <v>7.5</v>
      </c>
      <c r="AA141" s="1">
        <f t="shared" si="110"/>
        <v>6.715901527965797</v>
      </c>
      <c r="AB141" s="1">
        <v>0</v>
      </c>
      <c r="AC141" s="1">
        <f t="shared" si="99"/>
        <v>0.74420499999999989</v>
      </c>
      <c r="AD141" s="133">
        <f t="shared" si="111"/>
        <v>0.74420499999999989</v>
      </c>
      <c r="AE141" s="132">
        <f t="shared" si="121"/>
        <v>2.2333333333333338</v>
      </c>
      <c r="AF141" s="1">
        <f t="shared" si="112"/>
        <v>3.8774275550220723</v>
      </c>
      <c r="AG141" s="1">
        <f t="shared" si="100"/>
        <v>0.30068888888888889</v>
      </c>
      <c r="AH141" s="1">
        <f t="shared" si="101"/>
        <v>0.38242407182341071</v>
      </c>
      <c r="AI141" s="133">
        <f t="shared" si="113"/>
        <v>0.68311296071229965</v>
      </c>
      <c r="AJ141" s="132">
        <f t="shared" si="114"/>
        <v>4.4666666666666668</v>
      </c>
      <c r="AK141" s="1">
        <f t="shared" si="115"/>
        <v>5.4835106354313643</v>
      </c>
      <c r="AL141" s="1">
        <f t="shared" si="102"/>
        <v>0.60137777777777768</v>
      </c>
      <c r="AM141" s="1">
        <f t="shared" si="116"/>
        <v>0.15427500000000002</v>
      </c>
      <c r="AN141" s="136">
        <f t="shared" si="103"/>
        <v>0.105</v>
      </c>
      <c r="AO141" s="133">
        <f t="shared" si="117"/>
        <v>0.86065277777777771</v>
      </c>
      <c r="AP141" s="132">
        <f t="shared" si="104"/>
        <v>0.29542683333333325</v>
      </c>
      <c r="AQ141" s="137">
        <f t="shared" si="105"/>
        <v>0.74420499999999989</v>
      </c>
      <c r="AR141" s="137">
        <f t="shared" si="106"/>
        <v>4.147588250013759E-2</v>
      </c>
      <c r="AS141" s="1">
        <f t="shared" si="107"/>
        <v>5.9279999999999999E-2</v>
      </c>
      <c r="AT141" s="133">
        <f t="shared" si="108"/>
        <v>4.8000000000000001E-2</v>
      </c>
      <c r="AU141" s="132">
        <f t="shared" si="118"/>
        <v>3.4763584543235484</v>
      </c>
      <c r="AV141" s="1">
        <f t="shared" si="119"/>
        <v>80.400000000000006</v>
      </c>
      <c r="AW141" s="133">
        <f t="shared" si="120"/>
        <v>95.855377464656314</v>
      </c>
    </row>
    <row r="142" spans="17:49" x14ac:dyDescent="0.25">
      <c r="Q142">
        <v>135</v>
      </c>
      <c r="R142" s="132">
        <f t="shared" si="92"/>
        <v>18</v>
      </c>
      <c r="S142" s="1">
        <f t="shared" si="93"/>
        <v>4.5</v>
      </c>
      <c r="T142" s="1">
        <f t="shared" si="94"/>
        <v>12</v>
      </c>
      <c r="U142" s="133">
        <f t="shared" si="95"/>
        <v>6.75</v>
      </c>
      <c r="V142" s="132">
        <f>IF(Calculations!$B$17=3,2,IF((S142*R142/T142)&lt;((T142*(1-(T142/R142)))/(2*Lm*fsw)),1,2))</f>
        <v>2</v>
      </c>
      <c r="W142" s="1">
        <f t="shared" si="96"/>
        <v>0.33333333333333337</v>
      </c>
      <c r="X142" s="133">
        <f t="shared" si="97"/>
        <v>0.66666666666666663</v>
      </c>
      <c r="Y142" s="132">
        <f t="shared" si="98"/>
        <v>1.6</v>
      </c>
      <c r="Z142" s="1">
        <f t="shared" si="109"/>
        <v>7.55</v>
      </c>
      <c r="AA142" s="1">
        <f t="shared" si="110"/>
        <v>6.7657840146825059</v>
      </c>
      <c r="AB142" s="1">
        <v>0</v>
      </c>
      <c r="AC142" s="1">
        <f t="shared" si="99"/>
        <v>0.75530124999999992</v>
      </c>
      <c r="AD142" s="133">
        <f t="shared" si="111"/>
        <v>0.75530124999999992</v>
      </c>
      <c r="AE142" s="132">
        <f t="shared" si="121"/>
        <v>2.2500000000000004</v>
      </c>
      <c r="AF142" s="1">
        <f t="shared" si="112"/>
        <v>3.9062272221558119</v>
      </c>
      <c r="AG142" s="1">
        <f t="shared" si="100"/>
        <v>0.30517222222222218</v>
      </c>
      <c r="AH142" s="1">
        <f t="shared" si="101"/>
        <v>0.38527798280716746</v>
      </c>
      <c r="AI142" s="133">
        <f t="shared" si="113"/>
        <v>0.6904502050293897</v>
      </c>
      <c r="AJ142" s="132">
        <f t="shared" si="114"/>
        <v>4.5</v>
      </c>
      <c r="AK142" s="1">
        <f t="shared" si="115"/>
        <v>5.52423951528373</v>
      </c>
      <c r="AL142" s="1">
        <f t="shared" si="102"/>
        <v>0.61034444444444436</v>
      </c>
      <c r="AM142" s="1">
        <f t="shared" si="116"/>
        <v>0.15427500000000002</v>
      </c>
      <c r="AN142" s="136">
        <f t="shared" si="103"/>
        <v>0.1057</v>
      </c>
      <c r="AO142" s="133">
        <f t="shared" si="117"/>
        <v>0.87031944444444442</v>
      </c>
      <c r="AP142" s="132">
        <f t="shared" si="104"/>
        <v>0.29983170833333322</v>
      </c>
      <c r="AQ142" s="137">
        <f t="shared" si="105"/>
        <v>0.75530124999999992</v>
      </c>
      <c r="AR142" s="137">
        <f t="shared" si="106"/>
        <v>4.147588250013759E-2</v>
      </c>
      <c r="AS142" s="1">
        <f t="shared" si="107"/>
        <v>5.9279999999999999E-2</v>
      </c>
      <c r="AT142" s="133">
        <f t="shared" si="108"/>
        <v>4.8000000000000001E-2</v>
      </c>
      <c r="AU142" s="132">
        <f t="shared" si="118"/>
        <v>3.5199597403073053</v>
      </c>
      <c r="AV142" s="1">
        <f t="shared" si="119"/>
        <v>81</v>
      </c>
      <c r="AW142" s="133">
        <f t="shared" si="120"/>
        <v>95.835350902765938</v>
      </c>
    </row>
    <row r="143" spans="17:49" x14ac:dyDescent="0.25">
      <c r="Q143">
        <v>136</v>
      </c>
      <c r="R143" s="132">
        <f t="shared" si="92"/>
        <v>18</v>
      </c>
      <c r="S143" s="1">
        <f t="shared" si="93"/>
        <v>4.5333333333333332</v>
      </c>
      <c r="T143" s="1">
        <f t="shared" si="94"/>
        <v>12</v>
      </c>
      <c r="U143" s="133">
        <f t="shared" si="95"/>
        <v>6.8</v>
      </c>
      <c r="V143" s="132">
        <f>IF(Calculations!$B$17=3,2,IF((S143*R143/T143)&lt;((T143*(1-(T143/R143)))/(2*Lm*fsw)),1,2))</f>
        <v>2</v>
      </c>
      <c r="W143" s="1">
        <f t="shared" si="96"/>
        <v>0.33333333333333337</v>
      </c>
      <c r="X143" s="133">
        <f t="shared" si="97"/>
        <v>0.66666666666666663</v>
      </c>
      <c r="Y143" s="132">
        <f t="shared" si="98"/>
        <v>1.6</v>
      </c>
      <c r="Z143" s="1">
        <f t="shared" si="109"/>
        <v>7.6</v>
      </c>
      <c r="AA143" s="1">
        <f t="shared" si="110"/>
        <v>6.8156682235370969</v>
      </c>
      <c r="AB143" s="1">
        <v>0</v>
      </c>
      <c r="AC143" s="1">
        <f t="shared" si="99"/>
        <v>0.76647999999999994</v>
      </c>
      <c r="AD143" s="133">
        <f t="shared" si="111"/>
        <v>0.76647999999999994</v>
      </c>
      <c r="AE143" s="132">
        <f t="shared" si="121"/>
        <v>2.2666666666666671</v>
      </c>
      <c r="AF143" s="1">
        <f t="shared" si="112"/>
        <v>3.9350278835663217</v>
      </c>
      <c r="AG143" s="1">
        <f t="shared" si="100"/>
        <v>0.3096888888888889</v>
      </c>
      <c r="AH143" s="1">
        <f t="shared" si="101"/>
        <v>0.38813189379092422</v>
      </c>
      <c r="AI143" s="133">
        <f t="shared" si="113"/>
        <v>0.69782078267981307</v>
      </c>
      <c r="AJ143" s="132">
        <f t="shared" si="114"/>
        <v>4.5333333333333332</v>
      </c>
      <c r="AK143" s="1">
        <f t="shared" si="115"/>
        <v>5.5649698012557884</v>
      </c>
      <c r="AL143" s="1">
        <f t="shared" si="102"/>
        <v>0.6193777777777778</v>
      </c>
      <c r="AM143" s="1">
        <f t="shared" si="116"/>
        <v>0.15427500000000002</v>
      </c>
      <c r="AN143" s="136">
        <f t="shared" si="103"/>
        <v>0.10639999999999999</v>
      </c>
      <c r="AO143" s="133">
        <f t="shared" si="117"/>
        <v>0.88005277777777779</v>
      </c>
      <c r="AP143" s="132">
        <f t="shared" si="104"/>
        <v>0.30426933333333328</v>
      </c>
      <c r="AQ143" s="137">
        <f t="shared" si="105"/>
        <v>0.76647999999999994</v>
      </c>
      <c r="AR143" s="137">
        <f t="shared" si="106"/>
        <v>4.147588250013759E-2</v>
      </c>
      <c r="AS143" s="1">
        <f t="shared" si="107"/>
        <v>5.9279999999999999E-2</v>
      </c>
      <c r="AT143" s="133">
        <f t="shared" si="108"/>
        <v>4.8000000000000001E-2</v>
      </c>
      <c r="AU143" s="132">
        <f t="shared" si="118"/>
        <v>3.5638587762910614</v>
      </c>
      <c r="AV143" s="1">
        <f t="shared" si="119"/>
        <v>81.599999999999994</v>
      </c>
      <c r="AW143" s="133">
        <f t="shared" si="120"/>
        <v>95.815292041131414</v>
      </c>
    </row>
    <row r="144" spans="17:49" x14ac:dyDescent="0.25">
      <c r="Q144">
        <v>137</v>
      </c>
      <c r="R144" s="132">
        <f t="shared" si="92"/>
        <v>18</v>
      </c>
      <c r="S144" s="1">
        <f t="shared" si="93"/>
        <v>4.5666666666666664</v>
      </c>
      <c r="T144" s="1">
        <f t="shared" si="94"/>
        <v>12</v>
      </c>
      <c r="U144" s="133">
        <f t="shared" si="95"/>
        <v>6.8499999999999988</v>
      </c>
      <c r="V144" s="132">
        <f>IF(Calculations!$B$17=3,2,IF((S144*R144/T144)&lt;((T144*(1-(T144/R144)))/(2*Lm*fsw)),1,2))</f>
        <v>2</v>
      </c>
      <c r="W144" s="1">
        <f t="shared" si="96"/>
        <v>0.33333333333333337</v>
      </c>
      <c r="X144" s="133">
        <f t="shared" si="97"/>
        <v>0.66666666666666663</v>
      </c>
      <c r="Y144" s="132">
        <f t="shared" si="98"/>
        <v>1.6</v>
      </c>
      <c r="Z144" s="1">
        <f t="shared" si="109"/>
        <v>7.6499999999999986</v>
      </c>
      <c r="AA144" s="1">
        <f t="shared" si="110"/>
        <v>6.865554116991091</v>
      </c>
      <c r="AB144" s="1">
        <v>0</v>
      </c>
      <c r="AC144" s="1">
        <f t="shared" si="99"/>
        <v>0.77774124999999972</v>
      </c>
      <c r="AD144" s="133">
        <f t="shared" si="111"/>
        <v>0.77774124999999972</v>
      </c>
      <c r="AE144" s="132">
        <f t="shared" si="121"/>
        <v>2.2833333333333332</v>
      </c>
      <c r="AF144" s="1">
        <f t="shared" si="112"/>
        <v>3.9638295175807494</v>
      </c>
      <c r="AG144" s="1">
        <f t="shared" si="100"/>
        <v>0.31423888888888873</v>
      </c>
      <c r="AH144" s="1">
        <f t="shared" si="101"/>
        <v>0.39098580477468098</v>
      </c>
      <c r="AI144" s="133">
        <f t="shared" si="113"/>
        <v>0.70522469366356977</v>
      </c>
      <c r="AJ144" s="132">
        <f t="shared" si="114"/>
        <v>4.5666666666666655</v>
      </c>
      <c r="AK144" s="1">
        <f t="shared" si="115"/>
        <v>5.6057014626974979</v>
      </c>
      <c r="AL144" s="1">
        <f t="shared" si="102"/>
        <v>0.62847777777777736</v>
      </c>
      <c r="AM144" s="1">
        <f t="shared" si="116"/>
        <v>0.15427500000000002</v>
      </c>
      <c r="AN144" s="136">
        <f t="shared" si="103"/>
        <v>0.10709999999999999</v>
      </c>
      <c r="AO144" s="133">
        <f t="shared" si="117"/>
        <v>0.88985277777777738</v>
      </c>
      <c r="AP144" s="132">
        <f t="shared" si="104"/>
        <v>0.3087397083333332</v>
      </c>
      <c r="AQ144" s="137">
        <f t="shared" si="105"/>
        <v>0.77774124999999972</v>
      </c>
      <c r="AR144" s="137">
        <f t="shared" si="106"/>
        <v>4.147588250013759E-2</v>
      </c>
      <c r="AS144" s="1">
        <f t="shared" si="107"/>
        <v>5.9279999999999999E-2</v>
      </c>
      <c r="AT144" s="133">
        <f t="shared" si="108"/>
        <v>4.8000000000000001E-2</v>
      </c>
      <c r="AU144" s="132">
        <f t="shared" si="118"/>
        <v>3.6080555622748172</v>
      </c>
      <c r="AV144" s="1">
        <f t="shared" si="119"/>
        <v>82.199999999999989</v>
      </c>
      <c r="AW144" s="133">
        <f t="shared" si="120"/>
        <v>95.795201815689339</v>
      </c>
    </row>
    <row r="145" spans="17:49" x14ac:dyDescent="0.25">
      <c r="Q145">
        <v>138</v>
      </c>
      <c r="R145" s="132">
        <f t="shared" si="92"/>
        <v>18</v>
      </c>
      <c r="S145" s="1">
        <f t="shared" si="93"/>
        <v>4.5999999999999996</v>
      </c>
      <c r="T145" s="1">
        <f t="shared" si="94"/>
        <v>12</v>
      </c>
      <c r="U145" s="133">
        <f t="shared" si="95"/>
        <v>6.8999999999999995</v>
      </c>
      <c r="V145" s="132">
        <f>IF(Calculations!$B$17=3,2,IF((S145*R145/T145)&lt;((T145*(1-(T145/R145)))/(2*Lm*fsw)),1,2))</f>
        <v>2</v>
      </c>
      <c r="W145" s="1">
        <f t="shared" si="96"/>
        <v>0.33333333333333337</v>
      </c>
      <c r="X145" s="133">
        <f t="shared" si="97"/>
        <v>0.66666666666666663</v>
      </c>
      <c r="Y145" s="132">
        <f t="shared" si="98"/>
        <v>1.6</v>
      </c>
      <c r="Z145" s="1">
        <f t="shared" si="109"/>
        <v>7.6999999999999993</v>
      </c>
      <c r="AA145" s="1">
        <f t="shared" si="110"/>
        <v>6.9154416585879259</v>
      </c>
      <c r="AB145" s="1">
        <v>0</v>
      </c>
      <c r="AC145" s="1">
        <f t="shared" si="99"/>
        <v>0.78908499999999993</v>
      </c>
      <c r="AD145" s="133">
        <f t="shared" si="111"/>
        <v>0.78908499999999993</v>
      </c>
      <c r="AE145" s="132">
        <f t="shared" si="121"/>
        <v>2.3000000000000003</v>
      </c>
      <c r="AF145" s="1">
        <f t="shared" si="112"/>
        <v>3.9926321031508913</v>
      </c>
      <c r="AG145" s="1">
        <f t="shared" si="100"/>
        <v>0.31882222222222217</v>
      </c>
      <c r="AH145" s="1">
        <f t="shared" si="101"/>
        <v>0.39383971575843779</v>
      </c>
      <c r="AI145" s="133">
        <f t="shared" si="113"/>
        <v>0.71266193798066002</v>
      </c>
      <c r="AJ145" s="132">
        <f t="shared" si="114"/>
        <v>4.5999999999999996</v>
      </c>
      <c r="AK145" s="1">
        <f t="shared" si="115"/>
        <v>5.6464344698422044</v>
      </c>
      <c r="AL145" s="1">
        <f t="shared" si="102"/>
        <v>0.63764444444444435</v>
      </c>
      <c r="AM145" s="1">
        <f t="shared" si="116"/>
        <v>0.15427500000000002</v>
      </c>
      <c r="AN145" s="136">
        <f t="shared" si="103"/>
        <v>0.10779999999999999</v>
      </c>
      <c r="AO145" s="133">
        <f t="shared" si="117"/>
        <v>0.89971944444444441</v>
      </c>
      <c r="AP145" s="132">
        <f t="shared" si="104"/>
        <v>0.31324283333333325</v>
      </c>
      <c r="AQ145" s="137">
        <f t="shared" si="105"/>
        <v>0.78908499999999993</v>
      </c>
      <c r="AR145" s="137">
        <f t="shared" si="106"/>
        <v>4.147588250013759E-2</v>
      </c>
      <c r="AS145" s="1">
        <f t="shared" si="107"/>
        <v>5.9279999999999999E-2</v>
      </c>
      <c r="AT145" s="133">
        <f t="shared" si="108"/>
        <v>4.8000000000000001E-2</v>
      </c>
      <c r="AU145" s="132">
        <f t="shared" si="118"/>
        <v>3.6525500982585757</v>
      </c>
      <c r="AV145" s="1">
        <f t="shared" si="119"/>
        <v>82.8</v>
      </c>
      <c r="AW145" s="133">
        <f t="shared" si="120"/>
        <v>95.775081135134556</v>
      </c>
    </row>
    <row r="146" spans="17:49" x14ac:dyDescent="0.25">
      <c r="Q146">
        <v>139</v>
      </c>
      <c r="R146" s="132">
        <f t="shared" si="92"/>
        <v>18</v>
      </c>
      <c r="S146" s="1">
        <f t="shared" si="93"/>
        <v>4.6333333333333329</v>
      </c>
      <c r="T146" s="1">
        <f t="shared" si="94"/>
        <v>12</v>
      </c>
      <c r="U146" s="133">
        <f t="shared" si="95"/>
        <v>6.9499999999999993</v>
      </c>
      <c r="V146" s="132">
        <f>IF(Calculations!$B$17=3,2,IF((S146*R146/T146)&lt;((T146*(1-(T146/R146)))/(2*Lm*fsw)),1,2))</f>
        <v>2</v>
      </c>
      <c r="W146" s="1">
        <f t="shared" si="96"/>
        <v>0.33333333333333337</v>
      </c>
      <c r="X146" s="133">
        <f t="shared" si="97"/>
        <v>0.66666666666666663</v>
      </c>
      <c r="Y146" s="132">
        <f t="shared" si="98"/>
        <v>1.6</v>
      </c>
      <c r="Z146" s="1">
        <f t="shared" si="109"/>
        <v>7.7499999999999991</v>
      </c>
      <c r="AA146" s="1">
        <f t="shared" si="110"/>
        <v>6.9653308129142957</v>
      </c>
      <c r="AB146" s="1">
        <v>0</v>
      </c>
      <c r="AC146" s="1">
        <f t="shared" si="99"/>
        <v>0.8005112499999999</v>
      </c>
      <c r="AD146" s="133">
        <f t="shared" si="111"/>
        <v>0.8005112499999999</v>
      </c>
      <c r="AE146" s="132">
        <f t="shared" si="121"/>
        <v>2.3166666666666669</v>
      </c>
      <c r="AF146" s="1">
        <f t="shared" si="112"/>
        <v>4.0214356198308634</v>
      </c>
      <c r="AG146" s="1">
        <f t="shared" si="100"/>
        <v>0.32343888888888883</v>
      </c>
      <c r="AH146" s="1">
        <f t="shared" si="101"/>
        <v>0.39669362674219466</v>
      </c>
      <c r="AI146" s="133">
        <f t="shared" si="113"/>
        <v>0.72013251563108349</v>
      </c>
      <c r="AJ146" s="132">
        <f t="shared" si="114"/>
        <v>4.6333333333333329</v>
      </c>
      <c r="AK146" s="1">
        <f t="shared" si="115"/>
        <v>5.6871687937750606</v>
      </c>
      <c r="AL146" s="1">
        <f t="shared" si="102"/>
        <v>0.64687777777777755</v>
      </c>
      <c r="AM146" s="1">
        <f t="shared" si="116"/>
        <v>0.15427500000000002</v>
      </c>
      <c r="AN146" s="136">
        <f t="shared" si="103"/>
        <v>0.10849999999999999</v>
      </c>
      <c r="AO146" s="133">
        <f t="shared" si="117"/>
        <v>0.90965277777777764</v>
      </c>
      <c r="AP146" s="132">
        <f t="shared" si="104"/>
        <v>0.31777870833333327</v>
      </c>
      <c r="AQ146" s="137">
        <f t="shared" si="105"/>
        <v>0.8005112499999999</v>
      </c>
      <c r="AR146" s="137">
        <f t="shared" si="106"/>
        <v>4.147588250013759E-2</v>
      </c>
      <c r="AS146" s="1">
        <f t="shared" si="107"/>
        <v>5.9279999999999999E-2</v>
      </c>
      <c r="AT146" s="133">
        <f t="shared" si="108"/>
        <v>4.8000000000000001E-2</v>
      </c>
      <c r="AU146" s="132">
        <f t="shared" si="118"/>
        <v>3.6973423842423321</v>
      </c>
      <c r="AV146" s="1">
        <f t="shared" si="119"/>
        <v>83.399999999999991</v>
      </c>
      <c r="AW146" s="133">
        <f t="shared" si="120"/>
        <v>95.754930881896499</v>
      </c>
    </row>
    <row r="147" spans="17:49" x14ac:dyDescent="0.25">
      <c r="Q147">
        <v>140</v>
      </c>
      <c r="R147" s="132">
        <f t="shared" si="92"/>
        <v>18</v>
      </c>
      <c r="S147" s="1">
        <f t="shared" si="93"/>
        <v>4.666666666666667</v>
      </c>
      <c r="T147" s="1">
        <f t="shared" si="94"/>
        <v>12</v>
      </c>
      <c r="U147" s="133">
        <f t="shared" si="95"/>
        <v>7</v>
      </c>
      <c r="V147" s="132">
        <f>IF(Calculations!$B$17=3,2,IF((S147*R147/T147)&lt;((T147*(1-(T147/R147)))/(2*Lm*fsw)),1,2))</f>
        <v>2</v>
      </c>
      <c r="W147" s="1">
        <f t="shared" si="96"/>
        <v>0.33333333333333337</v>
      </c>
      <c r="X147" s="133">
        <f t="shared" si="97"/>
        <v>0.66666666666666663</v>
      </c>
      <c r="Y147" s="132">
        <f t="shared" si="98"/>
        <v>1.6</v>
      </c>
      <c r="Z147" s="1">
        <f t="shared" si="109"/>
        <v>7.8</v>
      </c>
      <c r="AA147" s="1">
        <f t="shared" si="110"/>
        <v>7.0152215455631426</v>
      </c>
      <c r="AB147" s="1">
        <v>0</v>
      </c>
      <c r="AC147" s="1">
        <f t="shared" si="99"/>
        <v>0.81201999999999985</v>
      </c>
      <c r="AD147" s="133">
        <f t="shared" si="111"/>
        <v>0.81201999999999985</v>
      </c>
      <c r="AE147" s="132">
        <f t="shared" si="121"/>
        <v>2.3333333333333335</v>
      </c>
      <c r="AF147" s="1">
        <f t="shared" si="112"/>
        <v>4.050240047755743</v>
      </c>
      <c r="AG147" s="1">
        <f t="shared" si="100"/>
        <v>0.32808888888888887</v>
      </c>
      <c r="AH147" s="1">
        <f t="shared" si="101"/>
        <v>0.39954753772595142</v>
      </c>
      <c r="AI147" s="133">
        <f t="shared" si="113"/>
        <v>0.72763642661484029</v>
      </c>
      <c r="AJ147" s="132">
        <f t="shared" si="114"/>
        <v>4.6666666666666661</v>
      </c>
      <c r="AK147" s="1">
        <f t="shared" si="115"/>
        <v>5.7279044064028231</v>
      </c>
      <c r="AL147" s="1">
        <f t="shared" si="102"/>
        <v>0.65617777777777753</v>
      </c>
      <c r="AM147" s="1">
        <f t="shared" si="116"/>
        <v>0.15427500000000002</v>
      </c>
      <c r="AN147" s="136">
        <f t="shared" si="103"/>
        <v>0.10920000000000001</v>
      </c>
      <c r="AO147" s="133">
        <f t="shared" si="117"/>
        <v>0.91965277777777754</v>
      </c>
      <c r="AP147" s="132">
        <f t="shared" si="104"/>
        <v>0.32234733333333326</v>
      </c>
      <c r="AQ147" s="137">
        <f t="shared" si="105"/>
        <v>0.81201999999999985</v>
      </c>
      <c r="AR147" s="137">
        <f t="shared" si="106"/>
        <v>4.147588250013759E-2</v>
      </c>
      <c r="AS147" s="1">
        <f t="shared" si="107"/>
        <v>5.9279999999999999E-2</v>
      </c>
      <c r="AT147" s="133">
        <f t="shared" si="108"/>
        <v>4.8000000000000001E-2</v>
      </c>
      <c r="AU147" s="132">
        <f t="shared" si="118"/>
        <v>3.7424324202260886</v>
      </c>
      <c r="AV147" s="1">
        <f t="shared" si="119"/>
        <v>84</v>
      </c>
      <c r="AW147" s="133">
        <f t="shared" si="120"/>
        <v>95.734751913073922</v>
      </c>
    </row>
    <row r="148" spans="17:49" x14ac:dyDescent="0.25">
      <c r="Q148">
        <v>141</v>
      </c>
      <c r="R148" s="132">
        <f t="shared" si="92"/>
        <v>18</v>
      </c>
      <c r="S148" s="1">
        <f t="shared" si="93"/>
        <v>4.7</v>
      </c>
      <c r="T148" s="1">
        <f t="shared" si="94"/>
        <v>12</v>
      </c>
      <c r="U148" s="133">
        <f t="shared" si="95"/>
        <v>7.0500000000000007</v>
      </c>
      <c r="V148" s="132">
        <f>IF(Calculations!$B$17=3,2,IF((S148*R148/T148)&lt;((T148*(1-(T148/R148)))/(2*Lm*fsw)),1,2))</f>
        <v>2</v>
      </c>
      <c r="W148" s="1">
        <f t="shared" si="96"/>
        <v>0.33333333333333337</v>
      </c>
      <c r="X148" s="133">
        <f t="shared" si="97"/>
        <v>0.66666666666666663</v>
      </c>
      <c r="Y148" s="132">
        <f t="shared" si="98"/>
        <v>1.6</v>
      </c>
      <c r="Z148" s="1">
        <f t="shared" si="109"/>
        <v>7.8500000000000005</v>
      </c>
      <c r="AA148" s="1">
        <f t="shared" si="110"/>
        <v>7.0651138230982049</v>
      </c>
      <c r="AB148" s="1">
        <v>0</v>
      </c>
      <c r="AC148" s="1">
        <f t="shared" si="99"/>
        <v>0.82361125000000002</v>
      </c>
      <c r="AD148" s="133">
        <f t="shared" si="111"/>
        <v>0.82361125000000002</v>
      </c>
      <c r="AE148" s="132">
        <f t="shared" si="121"/>
        <v>2.3500000000000005</v>
      </c>
      <c r="AF148" s="1">
        <f t="shared" si="112"/>
        <v>4.0790453676210952</v>
      </c>
      <c r="AG148" s="1">
        <f t="shared" si="100"/>
        <v>0.3327722222222223</v>
      </c>
      <c r="AH148" s="1">
        <f t="shared" si="101"/>
        <v>0.40240144870970823</v>
      </c>
      <c r="AI148" s="133">
        <f t="shared" si="113"/>
        <v>0.73517367093193053</v>
      </c>
      <c r="AJ148" s="132">
        <f t="shared" si="114"/>
        <v>4.7</v>
      </c>
      <c r="AK148" s="1">
        <f t="shared" si="115"/>
        <v>5.768641280424899</v>
      </c>
      <c r="AL148" s="1">
        <f t="shared" si="102"/>
        <v>0.66554444444444438</v>
      </c>
      <c r="AM148" s="1">
        <f t="shared" si="116"/>
        <v>0.15427500000000002</v>
      </c>
      <c r="AN148" s="136">
        <f t="shared" si="103"/>
        <v>0.10990000000000001</v>
      </c>
      <c r="AO148" s="133">
        <f t="shared" si="117"/>
        <v>0.92971944444444443</v>
      </c>
      <c r="AP148" s="132">
        <f t="shared" si="104"/>
        <v>0.32694870833333328</v>
      </c>
      <c r="AQ148" s="137">
        <f t="shared" si="105"/>
        <v>0.82361125000000002</v>
      </c>
      <c r="AR148" s="137">
        <f t="shared" si="106"/>
        <v>4.147588250013759E-2</v>
      </c>
      <c r="AS148" s="1">
        <f t="shared" si="107"/>
        <v>5.9279999999999999E-2</v>
      </c>
      <c r="AT148" s="133">
        <f t="shared" si="108"/>
        <v>4.8000000000000001E-2</v>
      </c>
      <c r="AU148" s="132">
        <f t="shared" si="118"/>
        <v>3.7878202062098461</v>
      </c>
      <c r="AV148" s="1">
        <f t="shared" si="119"/>
        <v>84.600000000000009</v>
      </c>
      <c r="AW148" s="133">
        <f t="shared" si="120"/>
        <v>95.714545061329929</v>
      </c>
    </row>
    <row r="149" spans="17:49" x14ac:dyDescent="0.25">
      <c r="Q149">
        <v>142</v>
      </c>
      <c r="R149" s="132">
        <f t="shared" si="92"/>
        <v>18</v>
      </c>
      <c r="S149" s="1">
        <f t="shared" si="93"/>
        <v>4.7333333333333334</v>
      </c>
      <c r="T149" s="1">
        <f t="shared" si="94"/>
        <v>12</v>
      </c>
      <c r="U149" s="133">
        <f t="shared" si="95"/>
        <v>7.1000000000000005</v>
      </c>
      <c r="V149" s="132">
        <f>IF(Calculations!$B$17=3,2,IF((S149*R149/T149)&lt;((T149*(1-(T149/R149)))/(2*Lm*fsw)),1,2))</f>
        <v>2</v>
      </c>
      <c r="W149" s="1">
        <f t="shared" si="96"/>
        <v>0.33333333333333337</v>
      </c>
      <c r="X149" s="133">
        <f t="shared" si="97"/>
        <v>0.66666666666666663</v>
      </c>
      <c r="Y149" s="132">
        <f t="shared" si="98"/>
        <v>1.6</v>
      </c>
      <c r="Z149" s="1">
        <f t="shared" si="109"/>
        <v>7.9</v>
      </c>
      <c r="AA149" s="1">
        <f t="shared" si="110"/>
        <v>7.1150076130200555</v>
      </c>
      <c r="AB149" s="1">
        <v>0</v>
      </c>
      <c r="AC149" s="1">
        <f t="shared" si="99"/>
        <v>0.83528500000000028</v>
      </c>
      <c r="AD149" s="133">
        <f t="shared" si="111"/>
        <v>0.83528500000000028</v>
      </c>
      <c r="AE149" s="132">
        <f t="shared" si="121"/>
        <v>2.3666666666666671</v>
      </c>
      <c r="AF149" s="1">
        <f t="shared" si="112"/>
        <v>4.1078515606633657</v>
      </c>
      <c r="AG149" s="1">
        <f t="shared" si="100"/>
        <v>0.337488888888889</v>
      </c>
      <c r="AH149" s="1">
        <f t="shared" si="101"/>
        <v>0.4052553596934651</v>
      </c>
      <c r="AI149" s="133">
        <f t="shared" si="113"/>
        <v>0.74274424858235411</v>
      </c>
      <c r="AJ149" s="132">
        <f t="shared" si="114"/>
        <v>4.7333333333333334</v>
      </c>
      <c r="AK149" s="1">
        <f t="shared" si="115"/>
        <v>5.8093793893056151</v>
      </c>
      <c r="AL149" s="1">
        <f t="shared" si="102"/>
        <v>0.67497777777777768</v>
      </c>
      <c r="AM149" s="1">
        <f t="shared" si="116"/>
        <v>0.15427500000000002</v>
      </c>
      <c r="AN149" s="136">
        <f t="shared" si="103"/>
        <v>0.1106</v>
      </c>
      <c r="AO149" s="133">
        <f t="shared" si="117"/>
        <v>0.93985277777777776</v>
      </c>
      <c r="AP149" s="132">
        <f t="shared" si="104"/>
        <v>0.33158283333333338</v>
      </c>
      <c r="AQ149" s="137">
        <f t="shared" si="105"/>
        <v>0.83528500000000028</v>
      </c>
      <c r="AR149" s="137">
        <f t="shared" si="106"/>
        <v>4.147588250013759E-2</v>
      </c>
      <c r="AS149" s="1">
        <f t="shared" si="107"/>
        <v>5.9279999999999999E-2</v>
      </c>
      <c r="AT149" s="133">
        <f t="shared" si="108"/>
        <v>4.8000000000000001E-2</v>
      </c>
      <c r="AU149" s="132">
        <f t="shared" si="118"/>
        <v>3.8335057421936032</v>
      </c>
      <c r="AV149" s="1">
        <f t="shared" si="119"/>
        <v>85.2</v>
      </c>
      <c r="AW149" s="133">
        <f t="shared" si="120"/>
        <v>95.694311135749331</v>
      </c>
    </row>
    <row r="150" spans="17:49" x14ac:dyDescent="0.25">
      <c r="Q150">
        <v>143</v>
      </c>
      <c r="R150" s="132">
        <f t="shared" si="92"/>
        <v>18</v>
      </c>
      <c r="S150" s="1">
        <f t="shared" si="93"/>
        <v>4.7666666666666666</v>
      </c>
      <c r="T150" s="1">
        <f t="shared" si="94"/>
        <v>12</v>
      </c>
      <c r="U150" s="133">
        <f t="shared" si="95"/>
        <v>7.1499999999999995</v>
      </c>
      <c r="V150" s="132">
        <f>IF(Calculations!$B$17=3,2,IF((S150*R150/T150)&lt;((T150*(1-(T150/R150)))/(2*Lm*fsw)),1,2))</f>
        <v>2</v>
      </c>
      <c r="W150" s="1">
        <f t="shared" si="96"/>
        <v>0.33333333333333337</v>
      </c>
      <c r="X150" s="133">
        <f t="shared" si="97"/>
        <v>0.66666666666666663</v>
      </c>
      <c r="Y150" s="132">
        <f t="shared" si="98"/>
        <v>1.6</v>
      </c>
      <c r="Z150" s="1">
        <f t="shared" si="109"/>
        <v>7.9499999999999993</v>
      </c>
      <c r="AA150" s="1">
        <f t="shared" si="110"/>
        <v>7.1649028837335491</v>
      </c>
      <c r="AB150" s="1">
        <v>0</v>
      </c>
      <c r="AC150" s="1">
        <f t="shared" si="99"/>
        <v>0.84704124999999997</v>
      </c>
      <c r="AD150" s="133">
        <f t="shared" si="111"/>
        <v>0.84704124999999997</v>
      </c>
      <c r="AE150" s="132">
        <f t="shared" si="121"/>
        <v>2.3833333333333333</v>
      </c>
      <c r="AF150" s="1">
        <f t="shared" si="112"/>
        <v>4.1366586086410901</v>
      </c>
      <c r="AG150" s="1">
        <f t="shared" si="100"/>
        <v>0.34223888888888881</v>
      </c>
      <c r="AH150" s="1">
        <f t="shared" si="101"/>
        <v>0.40810927067722175</v>
      </c>
      <c r="AI150" s="133">
        <f t="shared" si="113"/>
        <v>0.75034815956611056</v>
      </c>
      <c r="AJ150" s="132">
        <f t="shared" si="114"/>
        <v>4.7666666666666657</v>
      </c>
      <c r="AK150" s="1">
        <f t="shared" si="115"/>
        <v>5.8501187072476473</v>
      </c>
      <c r="AL150" s="1">
        <f t="shared" si="102"/>
        <v>0.68447777777777774</v>
      </c>
      <c r="AM150" s="1">
        <f t="shared" si="116"/>
        <v>0.15427500000000002</v>
      </c>
      <c r="AN150" s="136">
        <f t="shared" si="103"/>
        <v>0.1113</v>
      </c>
      <c r="AO150" s="133">
        <f t="shared" si="117"/>
        <v>0.95005277777777775</v>
      </c>
      <c r="AP150" s="132">
        <f t="shared" si="104"/>
        <v>0.33624970833333323</v>
      </c>
      <c r="AQ150" s="137">
        <f t="shared" si="105"/>
        <v>0.84704124999999997</v>
      </c>
      <c r="AR150" s="137">
        <f t="shared" si="106"/>
        <v>4.147588250013759E-2</v>
      </c>
      <c r="AS150" s="1">
        <f t="shared" si="107"/>
        <v>5.9279999999999999E-2</v>
      </c>
      <c r="AT150" s="133">
        <f t="shared" si="108"/>
        <v>4.8000000000000001E-2</v>
      </c>
      <c r="AU150" s="132">
        <f t="shared" si="118"/>
        <v>3.87948902817736</v>
      </c>
      <c r="AV150" s="1">
        <f t="shared" si="119"/>
        <v>85.8</v>
      </c>
      <c r="AW150" s="133">
        <f t="shared" si="120"/>
        <v>95.674050922660342</v>
      </c>
    </row>
    <row r="151" spans="17:49" x14ac:dyDescent="0.25">
      <c r="Q151">
        <v>144</v>
      </c>
      <c r="R151" s="132">
        <f t="shared" si="92"/>
        <v>18</v>
      </c>
      <c r="S151" s="1">
        <f t="shared" si="93"/>
        <v>4.8</v>
      </c>
      <c r="T151" s="1">
        <f t="shared" si="94"/>
        <v>12</v>
      </c>
      <c r="U151" s="133">
        <f t="shared" si="95"/>
        <v>7.1999999999999993</v>
      </c>
      <c r="V151" s="132">
        <f>IF(Calculations!$B$17=3,2,IF((S151*R151/T151)&lt;((T151*(1-(T151/R151)))/(2*Lm*fsw)),1,2))</f>
        <v>2</v>
      </c>
      <c r="W151" s="1">
        <f t="shared" si="96"/>
        <v>0.33333333333333337</v>
      </c>
      <c r="X151" s="133">
        <f t="shared" si="97"/>
        <v>0.66666666666666663</v>
      </c>
      <c r="Y151" s="132">
        <f t="shared" si="98"/>
        <v>1.6</v>
      </c>
      <c r="Z151" s="1">
        <f t="shared" si="109"/>
        <v>7.9999999999999991</v>
      </c>
      <c r="AA151" s="1">
        <f t="shared" si="110"/>
        <v>7.2147996045166298</v>
      </c>
      <c r="AB151" s="1">
        <v>0</v>
      </c>
      <c r="AC151" s="1">
        <f t="shared" si="99"/>
        <v>0.85887999999999987</v>
      </c>
      <c r="AD151" s="133">
        <f t="shared" si="111"/>
        <v>0.85887999999999987</v>
      </c>
      <c r="AE151" s="132">
        <f t="shared" si="121"/>
        <v>2.4</v>
      </c>
      <c r="AF151" s="1">
        <f t="shared" si="112"/>
        <v>4.1654664938168828</v>
      </c>
      <c r="AG151" s="1">
        <f t="shared" si="100"/>
        <v>0.34702222222222234</v>
      </c>
      <c r="AH151" s="1">
        <f t="shared" si="101"/>
        <v>0.41096318166097862</v>
      </c>
      <c r="AI151" s="133">
        <f t="shared" si="113"/>
        <v>0.75798540388320101</v>
      </c>
      <c r="AJ151" s="132">
        <f t="shared" si="114"/>
        <v>4.7999999999999989</v>
      </c>
      <c r="AK151" s="1">
        <f t="shared" si="115"/>
        <v>5.890859209166539</v>
      </c>
      <c r="AL151" s="1">
        <f t="shared" si="102"/>
        <v>0.69404444444444435</v>
      </c>
      <c r="AM151" s="1">
        <f t="shared" si="116"/>
        <v>0.15427500000000002</v>
      </c>
      <c r="AN151" s="136">
        <f t="shared" si="103"/>
        <v>0.11199999999999999</v>
      </c>
      <c r="AO151" s="133">
        <f t="shared" si="117"/>
        <v>0.96031944444444439</v>
      </c>
      <c r="AP151" s="132">
        <f t="shared" si="104"/>
        <v>0.34094933333333322</v>
      </c>
      <c r="AQ151" s="137">
        <f t="shared" si="105"/>
        <v>0.85887999999999987</v>
      </c>
      <c r="AR151" s="137">
        <f t="shared" si="106"/>
        <v>4.147588250013759E-2</v>
      </c>
      <c r="AS151" s="1">
        <f t="shared" si="107"/>
        <v>5.9279999999999999E-2</v>
      </c>
      <c r="AT151" s="133">
        <f t="shared" si="108"/>
        <v>4.8000000000000001E-2</v>
      </c>
      <c r="AU151" s="132">
        <f t="shared" si="118"/>
        <v>3.9257700641611168</v>
      </c>
      <c r="AV151" s="1">
        <f t="shared" si="119"/>
        <v>86.399999999999991</v>
      </c>
      <c r="AW151" s="133">
        <f t="shared" si="120"/>
        <v>95.65376518642185</v>
      </c>
    </row>
    <row r="152" spans="17:49" x14ac:dyDescent="0.25">
      <c r="Q152">
        <v>145</v>
      </c>
      <c r="R152" s="132">
        <f t="shared" si="92"/>
        <v>18</v>
      </c>
      <c r="S152" s="1">
        <f t="shared" si="93"/>
        <v>4.833333333333333</v>
      </c>
      <c r="T152" s="1">
        <f t="shared" si="94"/>
        <v>12</v>
      </c>
      <c r="U152" s="133">
        <f t="shared" si="95"/>
        <v>7.25</v>
      </c>
      <c r="V152" s="132">
        <f>IF(Calculations!$B$17=3,2,IF((S152*R152/T152)&lt;((T152*(1-(T152/R152)))/(2*Lm*fsw)),1,2))</f>
        <v>2</v>
      </c>
      <c r="W152" s="1">
        <f t="shared" si="96"/>
        <v>0.33333333333333337</v>
      </c>
      <c r="X152" s="133">
        <f t="shared" si="97"/>
        <v>0.66666666666666663</v>
      </c>
      <c r="Y152" s="132">
        <f t="shared" si="98"/>
        <v>1.6</v>
      </c>
      <c r="Z152" s="1">
        <f t="shared" si="109"/>
        <v>8.0500000000000007</v>
      </c>
      <c r="AA152" s="1">
        <f t="shared" si="110"/>
        <v>7.2646977454904018</v>
      </c>
      <c r="AB152" s="1">
        <v>0</v>
      </c>
      <c r="AC152" s="1">
        <f t="shared" si="99"/>
        <v>0.87080124999999986</v>
      </c>
      <c r="AD152" s="133">
        <f t="shared" si="111"/>
        <v>0.87080124999999986</v>
      </c>
      <c r="AE152" s="132">
        <f t="shared" si="121"/>
        <v>2.416666666666667</v>
      </c>
      <c r="AF152" s="1">
        <f t="shared" si="112"/>
        <v>4.1942751989401517</v>
      </c>
      <c r="AG152" s="1">
        <f t="shared" si="100"/>
        <v>0.35183888888888898</v>
      </c>
      <c r="AH152" s="1">
        <f t="shared" si="101"/>
        <v>0.41381709264473543</v>
      </c>
      <c r="AI152" s="133">
        <f t="shared" si="113"/>
        <v>0.76565598153362435</v>
      </c>
      <c r="AJ152" s="132">
        <f t="shared" si="114"/>
        <v>4.833333333333333</v>
      </c>
      <c r="AK152" s="1">
        <f t="shared" si="115"/>
        <v>5.9316008706662737</v>
      </c>
      <c r="AL152" s="1">
        <f t="shared" si="102"/>
        <v>0.70367777777777796</v>
      </c>
      <c r="AM152" s="1">
        <f t="shared" si="116"/>
        <v>0.15427500000000002</v>
      </c>
      <c r="AN152" s="136">
        <f t="shared" si="103"/>
        <v>0.11270000000000001</v>
      </c>
      <c r="AO152" s="133">
        <f t="shared" si="117"/>
        <v>0.97065277777777803</v>
      </c>
      <c r="AP152" s="132">
        <f t="shared" si="104"/>
        <v>0.34568170833333323</v>
      </c>
      <c r="AQ152" s="137">
        <f t="shared" si="105"/>
        <v>0.87080124999999986</v>
      </c>
      <c r="AR152" s="137">
        <f t="shared" si="106"/>
        <v>4.147588250013759E-2</v>
      </c>
      <c r="AS152" s="1">
        <f t="shared" si="107"/>
        <v>5.9279999999999999E-2</v>
      </c>
      <c r="AT152" s="133">
        <f t="shared" si="108"/>
        <v>4.8000000000000001E-2</v>
      </c>
      <c r="AU152" s="132">
        <f t="shared" si="118"/>
        <v>3.9723488501448729</v>
      </c>
      <c r="AV152" s="1">
        <f t="shared" si="119"/>
        <v>87</v>
      </c>
      <c r="AW152" s="133">
        <f t="shared" si="120"/>
        <v>95.633454670178565</v>
      </c>
    </row>
    <row r="153" spans="17:49" x14ac:dyDescent="0.25">
      <c r="Q153">
        <v>146</v>
      </c>
      <c r="R153" s="132">
        <f t="shared" si="92"/>
        <v>18</v>
      </c>
      <c r="S153" s="1">
        <f t="shared" si="93"/>
        <v>4.8666666666666663</v>
      </c>
      <c r="T153" s="1">
        <f t="shared" si="94"/>
        <v>12</v>
      </c>
      <c r="U153" s="133">
        <f t="shared" si="95"/>
        <v>7.3</v>
      </c>
      <c r="V153" s="132">
        <f>IF(Calculations!$B$17=3,2,IF((S153*R153/T153)&lt;((T153*(1-(T153/R153)))/(2*Lm*fsw)),1,2))</f>
        <v>2</v>
      </c>
      <c r="W153" s="1">
        <f t="shared" si="96"/>
        <v>0.33333333333333337</v>
      </c>
      <c r="X153" s="133">
        <f t="shared" si="97"/>
        <v>0.66666666666666663</v>
      </c>
      <c r="Y153" s="132">
        <f t="shared" si="98"/>
        <v>1.6</v>
      </c>
      <c r="Z153" s="1">
        <f t="shared" si="109"/>
        <v>8.1</v>
      </c>
      <c r="AA153" s="1">
        <f t="shared" si="110"/>
        <v>7.3145972775904298</v>
      </c>
      <c r="AB153" s="1">
        <v>0</v>
      </c>
      <c r="AC153" s="1">
        <f t="shared" si="99"/>
        <v>0.88280499999999984</v>
      </c>
      <c r="AD153" s="133">
        <f t="shared" si="111"/>
        <v>0.88280499999999984</v>
      </c>
      <c r="AE153" s="132">
        <f t="shared" si="121"/>
        <v>2.4333333333333336</v>
      </c>
      <c r="AF153" s="1">
        <f t="shared" si="112"/>
        <v>4.2230847072305391</v>
      </c>
      <c r="AG153" s="1">
        <f t="shared" si="100"/>
        <v>0.35668888888888894</v>
      </c>
      <c r="AH153" s="1">
        <f t="shared" si="101"/>
        <v>0.41667100362849219</v>
      </c>
      <c r="AI153" s="133">
        <f t="shared" si="113"/>
        <v>0.77335989251738113</v>
      </c>
      <c r="AJ153" s="132">
        <f t="shared" si="114"/>
        <v>4.8666666666666663</v>
      </c>
      <c r="AK153" s="1">
        <f t="shared" si="115"/>
        <v>5.9723436680158395</v>
      </c>
      <c r="AL153" s="1">
        <f t="shared" si="102"/>
        <v>0.71337777777777789</v>
      </c>
      <c r="AM153" s="1">
        <f t="shared" si="116"/>
        <v>0.15427500000000002</v>
      </c>
      <c r="AN153" s="136">
        <f t="shared" si="103"/>
        <v>0.1134</v>
      </c>
      <c r="AO153" s="133">
        <f t="shared" si="117"/>
        <v>0.981052777777778</v>
      </c>
      <c r="AP153" s="132">
        <f t="shared" si="104"/>
        <v>0.35044683333333321</v>
      </c>
      <c r="AQ153" s="137">
        <f t="shared" si="105"/>
        <v>0.88280499999999984</v>
      </c>
      <c r="AR153" s="137">
        <f t="shared" si="106"/>
        <v>4.147588250013759E-2</v>
      </c>
      <c r="AS153" s="1">
        <f t="shared" si="107"/>
        <v>5.9279999999999999E-2</v>
      </c>
      <c r="AT153" s="133">
        <f t="shared" si="108"/>
        <v>4.8000000000000001E-2</v>
      </c>
      <c r="AU153" s="132">
        <f t="shared" si="118"/>
        <v>4.01922538612863</v>
      </c>
      <c r="AV153" s="1">
        <f t="shared" si="119"/>
        <v>87.6</v>
      </c>
      <c r="AW153" s="133">
        <f t="shared" si="120"/>
        <v>95.613120096584936</v>
      </c>
    </row>
    <row r="154" spans="17:49" x14ac:dyDescent="0.25">
      <c r="Q154">
        <v>147</v>
      </c>
      <c r="R154" s="132">
        <f t="shared" si="92"/>
        <v>18</v>
      </c>
      <c r="S154" s="1">
        <f t="shared" si="93"/>
        <v>4.9000000000000004</v>
      </c>
      <c r="T154" s="1">
        <f t="shared" si="94"/>
        <v>12</v>
      </c>
      <c r="U154" s="133">
        <f t="shared" si="95"/>
        <v>7.3500000000000005</v>
      </c>
      <c r="V154" s="132">
        <f>IF(Calculations!$B$17=3,2,IF((S154*R154/T154)&lt;((T154*(1-(T154/R154)))/(2*Lm*fsw)),1,2))</f>
        <v>2</v>
      </c>
      <c r="W154" s="1">
        <f t="shared" si="96"/>
        <v>0.33333333333333337</v>
      </c>
      <c r="X154" s="133">
        <f t="shared" si="97"/>
        <v>0.66666666666666663</v>
      </c>
      <c r="Y154" s="132">
        <f t="shared" si="98"/>
        <v>1.6</v>
      </c>
      <c r="Z154" s="1">
        <f t="shared" si="109"/>
        <v>8.15</v>
      </c>
      <c r="AA154" s="1">
        <f t="shared" si="110"/>
        <v>7.364498172539208</v>
      </c>
      <c r="AB154" s="1">
        <v>0</v>
      </c>
      <c r="AC154" s="1">
        <f t="shared" si="99"/>
        <v>0.89489125000000003</v>
      </c>
      <c r="AD154" s="133">
        <f t="shared" si="111"/>
        <v>0.89489125000000003</v>
      </c>
      <c r="AE154" s="132">
        <f t="shared" si="121"/>
        <v>2.4500000000000006</v>
      </c>
      <c r="AF154" s="1">
        <f t="shared" si="112"/>
        <v>4.2518950023620192</v>
      </c>
      <c r="AG154" s="1">
        <f t="shared" si="100"/>
        <v>0.36157222222222229</v>
      </c>
      <c r="AH154" s="1">
        <f t="shared" si="101"/>
        <v>0.41952491461224906</v>
      </c>
      <c r="AI154" s="133">
        <f t="shared" si="113"/>
        <v>0.78109713683447135</v>
      </c>
      <c r="AJ154" s="132">
        <f t="shared" si="114"/>
        <v>4.9000000000000004</v>
      </c>
      <c r="AK154" s="1">
        <f t="shared" si="115"/>
        <v>6.0130875781267497</v>
      </c>
      <c r="AL154" s="1">
        <f t="shared" si="102"/>
        <v>0.72314444444444437</v>
      </c>
      <c r="AM154" s="1">
        <f t="shared" si="116"/>
        <v>0.15427500000000002</v>
      </c>
      <c r="AN154" s="136">
        <f t="shared" si="103"/>
        <v>0.11410000000000001</v>
      </c>
      <c r="AO154" s="133">
        <f t="shared" si="117"/>
        <v>0.9915194444444444</v>
      </c>
      <c r="AP154" s="132">
        <f t="shared" si="104"/>
        <v>0.35524470833333327</v>
      </c>
      <c r="AQ154" s="137">
        <f t="shared" si="105"/>
        <v>0.89489125000000003</v>
      </c>
      <c r="AR154" s="137">
        <f t="shared" si="106"/>
        <v>4.147588250013759E-2</v>
      </c>
      <c r="AS154" s="1">
        <f t="shared" si="107"/>
        <v>5.9279999999999999E-2</v>
      </c>
      <c r="AT154" s="133">
        <f t="shared" si="108"/>
        <v>4.8000000000000001E-2</v>
      </c>
      <c r="AU154" s="132">
        <f t="shared" si="118"/>
        <v>4.0663996721123867</v>
      </c>
      <c r="AV154" s="1">
        <f t="shared" si="119"/>
        <v>88.2</v>
      </c>
      <c r="AW154" s="133">
        <f t="shared" si="120"/>
        <v>95.592762168499945</v>
      </c>
    </row>
    <row r="155" spans="17:49" x14ac:dyDescent="0.25">
      <c r="Q155">
        <v>148</v>
      </c>
      <c r="R155" s="132">
        <f t="shared" si="92"/>
        <v>18</v>
      </c>
      <c r="S155" s="1">
        <f t="shared" si="93"/>
        <v>4.9333333333333336</v>
      </c>
      <c r="T155" s="1">
        <f t="shared" si="94"/>
        <v>12</v>
      </c>
      <c r="U155" s="133">
        <f t="shared" si="95"/>
        <v>7.4000000000000012</v>
      </c>
      <c r="V155" s="132">
        <f>IF(Calculations!$B$17=3,2,IF((S155*R155/T155)&lt;((T155*(1-(T155/R155)))/(2*Lm*fsw)),1,2))</f>
        <v>2</v>
      </c>
      <c r="W155" s="1">
        <f t="shared" si="96"/>
        <v>0.33333333333333337</v>
      </c>
      <c r="X155" s="133">
        <f t="shared" si="97"/>
        <v>0.66666666666666663</v>
      </c>
      <c r="Y155" s="132">
        <f t="shared" si="98"/>
        <v>1.6</v>
      </c>
      <c r="Z155" s="1">
        <f t="shared" si="109"/>
        <v>8.2000000000000011</v>
      </c>
      <c r="AA155" s="1">
        <f t="shared" si="110"/>
        <v>7.4144004028197283</v>
      </c>
      <c r="AB155" s="1">
        <v>0</v>
      </c>
      <c r="AC155" s="1">
        <f t="shared" si="99"/>
        <v>0.90706000000000031</v>
      </c>
      <c r="AD155" s="133">
        <f t="shared" si="111"/>
        <v>0.90706000000000031</v>
      </c>
      <c r="AE155" s="132">
        <f t="shared" si="121"/>
        <v>2.4666666666666672</v>
      </c>
      <c r="AF155" s="1">
        <f t="shared" si="112"/>
        <v>4.2807060684476408</v>
      </c>
      <c r="AG155" s="1">
        <f t="shared" si="100"/>
        <v>0.3664888888888892</v>
      </c>
      <c r="AH155" s="1">
        <f t="shared" si="101"/>
        <v>0.42237882559600587</v>
      </c>
      <c r="AI155" s="133">
        <f t="shared" si="113"/>
        <v>0.78886771448489501</v>
      </c>
      <c r="AJ155" s="132">
        <f t="shared" si="114"/>
        <v>4.9333333333333336</v>
      </c>
      <c r="AK155" s="1">
        <f t="shared" si="115"/>
        <v>6.0538325785314635</v>
      </c>
      <c r="AL155" s="1">
        <f t="shared" si="102"/>
        <v>0.73297777777777806</v>
      </c>
      <c r="AM155" s="1">
        <f t="shared" si="116"/>
        <v>0.15427500000000002</v>
      </c>
      <c r="AN155" s="136">
        <f t="shared" si="103"/>
        <v>0.11480000000000001</v>
      </c>
      <c r="AO155" s="133">
        <f t="shared" si="117"/>
        <v>1.0020527777777781</v>
      </c>
      <c r="AP155" s="132">
        <f t="shared" si="104"/>
        <v>0.36007533333333341</v>
      </c>
      <c r="AQ155" s="137">
        <f t="shared" si="105"/>
        <v>0.90706000000000031</v>
      </c>
      <c r="AR155" s="137">
        <f t="shared" si="106"/>
        <v>4.147588250013759E-2</v>
      </c>
      <c r="AS155" s="1">
        <f t="shared" si="107"/>
        <v>5.9279999999999999E-2</v>
      </c>
      <c r="AT155" s="133">
        <f t="shared" si="108"/>
        <v>4.8000000000000001E-2</v>
      </c>
      <c r="AU155" s="132">
        <f t="shared" si="118"/>
        <v>4.1138717080961458</v>
      </c>
      <c r="AV155" s="1">
        <f t="shared" si="119"/>
        <v>88.800000000000011</v>
      </c>
      <c r="AW155" s="133">
        <f t="shared" si="120"/>
        <v>95.57238156965353</v>
      </c>
    </row>
    <row r="156" spans="17:49" x14ac:dyDescent="0.25">
      <c r="Q156">
        <v>149</v>
      </c>
      <c r="R156" s="132">
        <f t="shared" si="92"/>
        <v>18</v>
      </c>
      <c r="S156" s="1">
        <f t="shared" si="93"/>
        <v>4.9666666666666668</v>
      </c>
      <c r="T156" s="1">
        <f t="shared" si="94"/>
        <v>12</v>
      </c>
      <c r="U156" s="133">
        <f t="shared" si="95"/>
        <v>7.45</v>
      </c>
      <c r="V156" s="132">
        <f>IF(Calculations!$B$17=3,2,IF((S156*R156/T156)&lt;((T156*(1-(T156/R156)))/(2*Lm*fsw)),1,2))</f>
        <v>2</v>
      </c>
      <c r="W156" s="1">
        <f t="shared" si="96"/>
        <v>0.33333333333333337</v>
      </c>
      <c r="X156" s="133">
        <f t="shared" si="97"/>
        <v>0.66666666666666663</v>
      </c>
      <c r="Y156" s="132">
        <f t="shared" si="98"/>
        <v>1.6</v>
      </c>
      <c r="Z156" s="1">
        <f t="shared" si="109"/>
        <v>8.25</v>
      </c>
      <c r="AA156" s="1">
        <f t="shared" si="110"/>
        <v>7.4643039416501082</v>
      </c>
      <c r="AB156" s="1">
        <v>0</v>
      </c>
      <c r="AC156" s="1">
        <f t="shared" si="99"/>
        <v>0.91931125000000025</v>
      </c>
      <c r="AD156" s="133">
        <f t="shared" si="111"/>
        <v>0.91931125000000025</v>
      </c>
      <c r="AE156" s="132">
        <f t="shared" si="121"/>
        <v>2.4833333333333338</v>
      </c>
      <c r="AF156" s="1">
        <f t="shared" si="112"/>
        <v>4.3095178900248747</v>
      </c>
      <c r="AG156" s="1">
        <f t="shared" si="100"/>
        <v>0.37143888888888899</v>
      </c>
      <c r="AH156" s="1">
        <f t="shared" si="101"/>
        <v>0.42523273657976257</v>
      </c>
      <c r="AI156" s="133">
        <f t="shared" si="113"/>
        <v>0.79667162546865156</v>
      </c>
      <c r="AJ156" s="132">
        <f t="shared" si="114"/>
        <v>4.9666666666666668</v>
      </c>
      <c r="AK156" s="1">
        <f t="shared" si="115"/>
        <v>6.0945786473626615</v>
      </c>
      <c r="AL156" s="1">
        <f t="shared" si="102"/>
        <v>0.74287777777777775</v>
      </c>
      <c r="AM156" s="1">
        <f t="shared" si="116"/>
        <v>0.15427500000000002</v>
      </c>
      <c r="AN156" s="136">
        <f t="shared" si="103"/>
        <v>0.11550000000000001</v>
      </c>
      <c r="AO156" s="133">
        <f t="shared" si="117"/>
        <v>1.0126527777777778</v>
      </c>
      <c r="AP156" s="132">
        <f t="shared" si="104"/>
        <v>0.36493870833333336</v>
      </c>
      <c r="AQ156" s="137">
        <f t="shared" si="105"/>
        <v>0.91931125000000025</v>
      </c>
      <c r="AR156" s="137">
        <f t="shared" si="106"/>
        <v>4.147588250013759E-2</v>
      </c>
      <c r="AS156" s="1">
        <f t="shared" si="107"/>
        <v>5.9279999999999999E-2</v>
      </c>
      <c r="AT156" s="133">
        <f t="shared" si="108"/>
        <v>4.8000000000000001E-2</v>
      </c>
      <c r="AU156" s="132">
        <f t="shared" si="118"/>
        <v>4.1616414940799009</v>
      </c>
      <c r="AV156" s="1">
        <f t="shared" si="119"/>
        <v>89.4</v>
      </c>
      <c r="AW156" s="133">
        <f t="shared" si="120"/>
        <v>95.551978965286509</v>
      </c>
    </row>
    <row r="157" spans="17:49" ht="15.75" thickBot="1" x14ac:dyDescent="0.3">
      <c r="Q157">
        <v>150</v>
      </c>
      <c r="R157" s="138">
        <f t="shared" si="92"/>
        <v>18</v>
      </c>
      <c r="S157" s="139">
        <f t="shared" si="93"/>
        <v>5</v>
      </c>
      <c r="T157" s="1">
        <f t="shared" si="94"/>
        <v>12</v>
      </c>
      <c r="U157" s="140">
        <f t="shared" si="95"/>
        <v>7.5</v>
      </c>
      <c r="V157" s="132">
        <f>IF(Calculations!$B$17=3,2,IF((S157*R157/T157)&lt;((T157*(1-(T157/R157)))/(2*Lm*fsw)),1,2))</f>
        <v>2</v>
      </c>
      <c r="W157" s="139">
        <f t="shared" si="96"/>
        <v>0.33333333333333337</v>
      </c>
      <c r="X157" s="133">
        <f t="shared" si="97"/>
        <v>0.66666666666666663</v>
      </c>
      <c r="Y157" s="138">
        <f t="shared" si="98"/>
        <v>1.6</v>
      </c>
      <c r="Z157" s="139">
        <f t="shared" si="109"/>
        <v>8.3000000000000007</v>
      </c>
      <c r="AA157" s="139">
        <f t="shared" si="110"/>
        <v>7.5142087629592336</v>
      </c>
      <c r="AB157" s="139">
        <v>0</v>
      </c>
      <c r="AC157" s="139">
        <f t="shared" si="99"/>
        <v>0.93164500000000017</v>
      </c>
      <c r="AD157" s="140">
        <f t="shared" si="111"/>
        <v>0.93164500000000017</v>
      </c>
      <c r="AE157" s="138">
        <f t="shared" si="121"/>
        <v>2.5000000000000004</v>
      </c>
      <c r="AF157" s="1">
        <f t="shared" si="112"/>
        <v>4.3383304520415589</v>
      </c>
      <c r="AG157" s="139">
        <f t="shared" si="100"/>
        <v>0.37642222222222232</v>
      </c>
      <c r="AH157" s="139">
        <f t="shared" si="101"/>
        <v>0.42808664756351938</v>
      </c>
      <c r="AI157" s="140">
        <f t="shared" si="113"/>
        <v>0.80450886978574165</v>
      </c>
      <c r="AJ157" s="138">
        <f>X157*U157</f>
        <v>5</v>
      </c>
      <c r="AK157" s="139">
        <f t="shared" si="115"/>
        <v>6.1353257633333724</v>
      </c>
      <c r="AL157" s="1">
        <f t="shared" si="102"/>
        <v>0.75284444444444465</v>
      </c>
      <c r="AM157" s="1">
        <f t="shared" si="116"/>
        <v>0.15427500000000002</v>
      </c>
      <c r="AN157" s="136">
        <f t="shared" si="103"/>
        <v>0.11620000000000001</v>
      </c>
      <c r="AO157" s="133">
        <f t="shared" si="117"/>
        <v>1.0233194444444447</v>
      </c>
      <c r="AP157" s="132">
        <f t="shared" si="104"/>
        <v>0.36983483333333333</v>
      </c>
      <c r="AQ157" s="137">
        <f t="shared" si="105"/>
        <v>0.93164500000000017</v>
      </c>
      <c r="AR157" s="137">
        <f t="shared" si="106"/>
        <v>4.147588250013759E-2</v>
      </c>
      <c r="AS157" s="1">
        <f t="shared" si="107"/>
        <v>5.9279999999999999E-2</v>
      </c>
      <c r="AT157" s="140">
        <f t="shared" si="108"/>
        <v>4.8000000000000001E-2</v>
      </c>
      <c r="AU157" s="132">
        <f t="shared" si="118"/>
        <v>4.2097090300636584</v>
      </c>
      <c r="AV157" s="139">
        <f t="shared" si="119"/>
        <v>90</v>
      </c>
      <c r="AW157" s="140">
        <f>(AV157/(AV157+AU157))*100</f>
        <v>95.531555002764861</v>
      </c>
    </row>
  </sheetData>
  <mergeCells count="7">
    <mergeCell ref="AP5:AT5"/>
    <mergeCell ref="A1:M1"/>
    <mergeCell ref="R5:U5"/>
    <mergeCell ref="V5:X5"/>
    <mergeCell ref="Y5:AD5"/>
    <mergeCell ref="AE5:AI5"/>
    <mergeCell ref="AJ5:AO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FC06E-D291-4622-87EE-7C1E2472768F}">
  <sheetPr codeName="Sheet8"/>
  <dimension ref="A1:AW157"/>
  <sheetViews>
    <sheetView topLeftCell="AT10" workbookViewId="0">
      <selection activeCell="BB40" sqref="BB40"/>
    </sheetView>
  </sheetViews>
  <sheetFormatPr baseColWidth="10" defaultColWidth="9.140625" defaultRowHeight="15" x14ac:dyDescent="0.25"/>
  <cols>
    <col min="10" max="10" width="10" bestFit="1" customWidth="1"/>
    <col min="25" max="25" width="12" bestFit="1" customWidth="1"/>
    <col min="39" max="39" width="11" bestFit="1" customWidth="1"/>
    <col min="40" max="40" width="16.28515625" customWidth="1"/>
    <col min="41" max="41" width="11.7109375" customWidth="1"/>
    <col min="47" max="47" width="11.7109375" customWidth="1"/>
  </cols>
  <sheetData>
    <row r="1" spans="1:49" ht="27.75" x14ac:dyDescent="0.4">
      <c r="A1" s="245" t="s">
        <v>599</v>
      </c>
      <c r="B1" s="245"/>
      <c r="C1" s="245"/>
      <c r="D1" s="245"/>
      <c r="E1" s="245"/>
      <c r="F1" s="245"/>
      <c r="G1" s="245"/>
      <c r="H1" s="245"/>
      <c r="I1" s="245"/>
      <c r="J1" s="245"/>
      <c r="K1" s="245"/>
      <c r="L1" s="245"/>
      <c r="M1" s="245"/>
    </row>
    <row r="4" spans="1:49" ht="15.75" thickBot="1" x14ac:dyDescent="0.3">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row>
    <row r="5" spans="1:49" x14ac:dyDescent="0.25">
      <c r="R5" s="246" t="s">
        <v>600</v>
      </c>
      <c r="S5" s="247"/>
      <c r="T5" s="247"/>
      <c r="U5" s="248"/>
      <c r="V5" s="246" t="s">
        <v>262</v>
      </c>
      <c r="W5" s="247"/>
      <c r="X5" s="248"/>
      <c r="Y5" s="246" t="s">
        <v>601</v>
      </c>
      <c r="Z5" s="247"/>
      <c r="AA5" s="247"/>
      <c r="AB5" s="247"/>
      <c r="AC5" s="247"/>
      <c r="AD5" s="248"/>
      <c r="AE5" s="246" t="s">
        <v>602</v>
      </c>
      <c r="AF5" s="247"/>
      <c r="AG5" s="247"/>
      <c r="AH5" s="247"/>
      <c r="AI5" s="248"/>
      <c r="AJ5" s="246" t="s">
        <v>603</v>
      </c>
      <c r="AK5" s="247"/>
      <c r="AL5" s="247"/>
      <c r="AM5" s="247"/>
      <c r="AN5" s="249"/>
      <c r="AO5" s="248"/>
      <c r="AP5" s="241" t="s">
        <v>604</v>
      </c>
      <c r="AQ5" s="242"/>
      <c r="AR5" s="242"/>
      <c r="AS5" s="243"/>
      <c r="AT5" s="244"/>
      <c r="AU5" s="129" t="s">
        <v>605</v>
      </c>
      <c r="AV5" s="130"/>
      <c r="AW5" s="131"/>
    </row>
    <row r="6" spans="1:49" ht="18" x14ac:dyDescent="0.35">
      <c r="R6" s="132" t="s">
        <v>222</v>
      </c>
      <c r="S6" s="1" t="s">
        <v>223</v>
      </c>
      <c r="T6" s="1" t="s">
        <v>606</v>
      </c>
      <c r="U6" s="133" t="s">
        <v>607</v>
      </c>
      <c r="V6" s="132" t="s">
        <v>608</v>
      </c>
      <c r="W6" s="1" t="s">
        <v>609</v>
      </c>
      <c r="X6" s="133" t="s">
        <v>610</v>
      </c>
      <c r="Y6" s="132" t="s">
        <v>611</v>
      </c>
      <c r="Z6" s="1" t="s">
        <v>612</v>
      </c>
      <c r="AA6" s="1" t="s">
        <v>613</v>
      </c>
      <c r="AB6" s="134" t="s">
        <v>614</v>
      </c>
      <c r="AC6" s="134" t="s">
        <v>615</v>
      </c>
      <c r="AD6" s="135" t="s">
        <v>616</v>
      </c>
      <c r="AE6" s="132" t="s">
        <v>617</v>
      </c>
      <c r="AF6" s="1" t="s">
        <v>618</v>
      </c>
      <c r="AG6" s="134" t="s">
        <v>619</v>
      </c>
      <c r="AH6" s="134" t="s">
        <v>620</v>
      </c>
      <c r="AI6" s="135" t="s">
        <v>621</v>
      </c>
      <c r="AJ6" s="132" t="s">
        <v>622</v>
      </c>
      <c r="AK6" s="1" t="s">
        <v>623</v>
      </c>
      <c r="AL6" s="1" t="s">
        <v>624</v>
      </c>
      <c r="AM6" s="1" t="s">
        <v>625</v>
      </c>
      <c r="AN6" s="136" t="s">
        <v>626</v>
      </c>
      <c r="AO6" s="133" t="s">
        <v>627</v>
      </c>
      <c r="AP6" s="132" t="s">
        <v>628</v>
      </c>
      <c r="AQ6" s="137" t="s">
        <v>615</v>
      </c>
      <c r="AR6" s="137" t="s">
        <v>629</v>
      </c>
      <c r="AS6" s="1" t="s">
        <v>630</v>
      </c>
      <c r="AT6" s="133" t="s">
        <v>631</v>
      </c>
      <c r="AU6" s="132" t="s">
        <v>632</v>
      </c>
      <c r="AV6" s="1" t="s">
        <v>633</v>
      </c>
      <c r="AW6" s="133" t="s">
        <v>634</v>
      </c>
    </row>
    <row r="7" spans="1:49" x14ac:dyDescent="0.25">
      <c r="Q7">
        <v>0</v>
      </c>
      <c r="R7" s="132">
        <f t="shared" ref="R7:R70" si="0">VOUT</f>
        <v>18</v>
      </c>
      <c r="S7" s="1">
        <f t="shared" ref="S7:S38" si="1">IOUT</f>
        <v>5</v>
      </c>
      <c r="T7" s="1">
        <f t="shared" ref="T7:T38" si="2">VIN_MIN+($O$12)*(Q7)</f>
        <v>11.5</v>
      </c>
      <c r="U7" s="133">
        <f>(R7*S7)/(T7*EFF_est)</f>
        <v>7.8260869565217392</v>
      </c>
      <c r="V7" s="132">
        <f>IF(Calculations!$B$17=3,2,IF((S7*R7/T7)&lt;((T7*(1-(T7/R7)))/(2*Lm*fsw)),1,2))</f>
        <v>2</v>
      </c>
      <c r="W7" s="1">
        <f>CHOOSE(V7,SQRT((2*S7*Lm*fsw*(R7-T7))/((T7)^2)),1-(T7/R7))</f>
        <v>0.36111111111111116</v>
      </c>
      <c r="X7" s="133">
        <f t="shared" ref="X7:X70" si="3">CHOOSE(V7,(Lm*Z7*fsw)/(R7-T7),1-W7)</f>
        <v>0.63888888888888884</v>
      </c>
      <c r="Y7" s="132">
        <f t="shared" ref="Y7:Y70" si="4">(T7*W7)/(Lm*fsw)</f>
        <v>1.6611111111111114</v>
      </c>
      <c r="Z7" s="1">
        <f>CHOOSE(V7,Y7,U7+(0.5*Y7))</f>
        <v>8.6566425120772941</v>
      </c>
      <c r="AA7" s="1">
        <f>CHOOSE(V7,Z7*SQRT((W7+X7)/3),SQRT((U7^2)+((Y7^2)/12)))</f>
        <v>7.840763859131398</v>
      </c>
      <c r="AB7" s="1">
        <v>0</v>
      </c>
      <c r="AC7" s="1">
        <f>(AA7^2)*Rdcr</f>
        <v>1.0143800352619081</v>
      </c>
      <c r="AD7" s="133">
        <f>AB7+AC7</f>
        <v>1.0143800352619081</v>
      </c>
      <c r="AE7" s="132">
        <f>U7*W7</f>
        <v>2.8260869565217397</v>
      </c>
      <c r="AF7" s="1">
        <f>CHOOSE(V7,Z7*SQRT(W7/3),SQRT(W7*((Z7^2)+((Y7^2)/3)-(Z7*Y7))))</f>
        <v>4.7117126888171939</v>
      </c>
      <c r="AG7" s="1">
        <f t="shared" ref="AG7:AG70" si="5">(AF7^2)*RDS_on</f>
        <v>0.44400472923921902</v>
      </c>
      <c r="AH7" s="1">
        <f>((R7*U7)/2)*fsw*(tr_sw+tf_sw)</f>
        <v>0.44669911050106376</v>
      </c>
      <c r="AI7" s="133">
        <f>AG7+AH7</f>
        <v>0.89070383974028278</v>
      </c>
      <c r="AJ7" s="132">
        <f>X7*U7</f>
        <v>5</v>
      </c>
      <c r="AK7" s="1">
        <f>CHOOSE(V7,Z7*SQRT(X7/3),SQRT(X7*((Z7^2)+((Y7^2)/3)-(Y7*Z7))))</f>
        <v>6.2671637470789072</v>
      </c>
      <c r="AL7" s="1">
        <f t="shared" ref="AL7:AL70" si="6">(AK7^2)*RDS_on_HS</f>
        <v>0.78554682865400249</v>
      </c>
      <c r="AM7" s="1">
        <f>CHOOSE(V7,0,(R7+Vd_rect)*Qrr*fsw)</f>
        <v>0.15427500000000002</v>
      </c>
      <c r="AN7" s="136">
        <f>Vd_rect*t_dead*fsw*Z7</f>
        <v>0.12119299516908212</v>
      </c>
      <c r="AO7" s="133">
        <f>AL7+AM7+AN7</f>
        <v>1.0610148238230848</v>
      </c>
      <c r="AP7" s="132">
        <f t="shared" ref="AP7:AP70" si="7">(AA7^2)*Rcs</f>
        <v>0.40267813521003015</v>
      </c>
      <c r="AQ7" s="137">
        <f t="shared" ref="AQ7:AQ70" si="8">Rdcr*AA7^2</f>
        <v>1.0143800352619081</v>
      </c>
      <c r="AR7" s="137">
        <f t="shared" ref="AR7:AR70" si="9">ABS(7.759*10^-3*fsw^0.9458*(0.00787*Y7)^2.304)</f>
        <v>4.5217001730361785E-2</v>
      </c>
      <c r="AS7" s="1">
        <f t="shared" ref="AS7:AS70" si="10">(Qg_tot+Qg_tot_HS)*VCC*fsw</f>
        <v>5.9279999999999999E-2</v>
      </c>
      <c r="AT7" s="133">
        <f>IQ*T7</f>
        <v>4.5999999999999999E-2</v>
      </c>
      <c r="AU7" s="132">
        <f>AP7+AO7+AI7+AD7+AS7+AT7+AQ7+AR7</f>
        <v>4.5336538710275756</v>
      </c>
      <c r="AV7" s="1">
        <f>R7*S7</f>
        <v>90</v>
      </c>
      <c r="AW7" s="133">
        <f>(AV7/(AV7+AU7))*100</f>
        <v>95.204190586758813</v>
      </c>
    </row>
    <row r="8" spans="1:49" x14ac:dyDescent="0.25">
      <c r="M8">
        <f>fsw</f>
        <v>250000</v>
      </c>
      <c r="Q8">
        <v>1</v>
      </c>
      <c r="R8" s="132">
        <f t="shared" si="0"/>
        <v>18</v>
      </c>
      <c r="S8" s="1">
        <f t="shared" si="1"/>
        <v>5</v>
      </c>
      <c r="T8" s="1">
        <f t="shared" si="2"/>
        <v>11.506666666666666</v>
      </c>
      <c r="U8" s="133">
        <f t="shared" ref="U8:U71" si="11">(R8*S8)/(T8*EFF_est)</f>
        <v>7.8215527230590967</v>
      </c>
      <c r="V8" s="132">
        <f>IF(Calculations!$B$17=3,2,IF((S8*R8/T8)&lt;((T8*(1-(T8/R8)))/(2*Lm*fsw)),1,2))</f>
        <v>2</v>
      </c>
      <c r="W8" s="1">
        <f t="shared" ref="W8:W71" si="12">CHOOSE(V8,SQRT((2*S8*Lm*fsw*(R8-T8))/((T8)^2)),1-(T8/R8))</f>
        <v>0.36074074074074081</v>
      </c>
      <c r="X8" s="133">
        <f t="shared" si="3"/>
        <v>0.63925925925925919</v>
      </c>
      <c r="Y8" s="132">
        <f t="shared" si="4"/>
        <v>1.6603693827160495</v>
      </c>
      <c r="Z8" s="1">
        <f t="shared" ref="Z8:Z71" si="13">CHOOSE(V8,Y8,U8+(0.5*Y8))</f>
        <v>8.6517374144171217</v>
      </c>
      <c r="AA8" s="1">
        <f t="shared" ref="AA8:AA71" si="14">CHOOSE(V8,Z8*SQRT((W8+X8)/3),SQRT((U8^2)+((Y8^2)/12)))</f>
        <v>7.8362250184755151</v>
      </c>
      <c r="AB8" s="1">
        <v>0</v>
      </c>
      <c r="AC8" s="1">
        <f t="shared" ref="AC8:AC71" si="15">(AA8^2)*Rdcr</f>
        <v>1.0132059719129962</v>
      </c>
      <c r="AD8" s="133">
        <f t="shared" ref="AD8:AD71" si="16">AB8+AC8</f>
        <v>1.0132059719129962</v>
      </c>
      <c r="AE8" s="132">
        <f>U8*W8</f>
        <v>2.8215527230590967</v>
      </c>
      <c r="AF8" s="1">
        <f t="shared" ref="AF8:AF71" si="17">CHOOSE(V8,Z8*SQRT(W8/3),SQRT(W8*((Z8^2)+((Y8^2)/3)-(Z8*Y8))))</f>
        <v>4.7065697013200634</v>
      </c>
      <c r="AG8" s="1">
        <f t="shared" si="5"/>
        <v>0.44303596706768061</v>
      </c>
      <c r="AH8" s="1">
        <f t="shared" ref="AH8:AH71" si="18">((R8*U8)/2)*fsw*(tr_sw+tf_sw)</f>
        <v>0.44644030452742461</v>
      </c>
      <c r="AI8" s="133">
        <f t="shared" ref="AI8:AI71" si="19">AG8+AH8</f>
        <v>0.88947627159510523</v>
      </c>
      <c r="AJ8" s="132">
        <f t="shared" ref="AJ8:AJ71" si="20">X8*U8</f>
        <v>5</v>
      </c>
      <c r="AK8" s="1">
        <f t="shared" ref="AK8:AK71" si="21">CHOOSE(V8,Z8*SQRT(X8/3),SQRT(X8*((Z8^2)+((Y8^2)/3)-(Y8*Z8))))</f>
        <v>6.2653510824851271</v>
      </c>
      <c r="AL8" s="1">
        <f t="shared" si="6"/>
        <v>0.7850924837359512</v>
      </c>
      <c r="AM8" s="1">
        <f t="shared" ref="AM8:AM71" si="22">CHOOSE(V8,(R8+Vd_rect)*Qrr*fsw,(R8+Vd_rect)*Qrr*fsw)</f>
        <v>0.15427500000000002</v>
      </c>
      <c r="AN8" s="136">
        <f>Vd_rect*t_dead*fsw*Z8</f>
        <v>0.12112432380183971</v>
      </c>
      <c r="AO8" s="133">
        <f t="shared" ref="AO8:AO71" si="23">AL8+AM8+AN8</f>
        <v>1.0604918075377909</v>
      </c>
      <c r="AP8" s="132">
        <f t="shared" si="7"/>
        <v>0.40221206763818934</v>
      </c>
      <c r="AQ8" s="137">
        <f t="shared" si="8"/>
        <v>1.0132059719129962</v>
      </c>
      <c r="AR8" s="137">
        <f t="shared" si="9"/>
        <v>4.5170496263625702E-2</v>
      </c>
      <c r="AS8" s="1">
        <f t="shared" si="10"/>
        <v>5.9279999999999999E-2</v>
      </c>
      <c r="AT8" s="133">
        <f t="shared" ref="AT8:AT71" si="24">IQ*T8</f>
        <v>4.6026666666666667E-2</v>
      </c>
      <c r="AU8" s="132">
        <f t="shared" ref="AU8:AU71" si="25">AP8+AO8+AI8+AD8+AS8+AT8+AQ8+AR8</f>
        <v>4.5290692535273704</v>
      </c>
      <c r="AV8" s="1">
        <f t="shared" ref="AV8:AV71" si="26">R8*S8</f>
        <v>90</v>
      </c>
      <c r="AW8" s="133">
        <f t="shared" ref="AW8:AW71" si="27">(AV8/(AV8+AU8))*100</f>
        <v>95.208807947341171</v>
      </c>
    </row>
    <row r="9" spans="1:49" x14ac:dyDescent="0.25">
      <c r="N9" s="1" t="s">
        <v>451</v>
      </c>
      <c r="O9" s="1">
        <f>Vin_vari</f>
        <v>12</v>
      </c>
      <c r="P9" t="s">
        <v>34</v>
      </c>
      <c r="Q9">
        <v>2</v>
      </c>
      <c r="R9" s="132">
        <f t="shared" si="0"/>
        <v>18</v>
      </c>
      <c r="S9" s="1">
        <f t="shared" si="1"/>
        <v>5</v>
      </c>
      <c r="T9" s="1">
        <f t="shared" si="2"/>
        <v>11.513333333333334</v>
      </c>
      <c r="U9" s="133">
        <f t="shared" si="11"/>
        <v>7.8170237405906198</v>
      </c>
      <c r="V9" s="132">
        <f>IF(Calculations!$B$17=3,2,IF((S9*R9/T9)&lt;((T9*(1-(T9/R9)))/(2*Lm*fsw)),1,2))</f>
        <v>2</v>
      </c>
      <c r="W9" s="1">
        <f t="shared" si="12"/>
        <v>0.36037037037037034</v>
      </c>
      <c r="X9" s="133">
        <f t="shared" si="3"/>
        <v>0.63962962962962966</v>
      </c>
      <c r="Y9" s="132">
        <f t="shared" si="4"/>
        <v>1.6596256790123456</v>
      </c>
      <c r="Z9" s="1">
        <f t="shared" si="13"/>
        <v>8.6468365800967923</v>
      </c>
      <c r="AA9" s="1">
        <f t="shared" si="14"/>
        <v>7.83169138461336</v>
      </c>
      <c r="AB9" s="1">
        <v>0</v>
      </c>
      <c r="AC9" s="1">
        <f t="shared" si="15"/>
        <v>1.0120339340731477</v>
      </c>
      <c r="AD9" s="133">
        <f t="shared" si="16"/>
        <v>1.0120339340731477</v>
      </c>
      <c r="AE9" s="132">
        <f t="shared" ref="AE9:AE72" si="28">U9*W9</f>
        <v>2.8170237405906193</v>
      </c>
      <c r="AF9" s="1">
        <f t="shared" si="17"/>
        <v>4.7014313980816596</v>
      </c>
      <c r="AG9" s="1">
        <f t="shared" si="5"/>
        <v>0.44206914381736134</v>
      </c>
      <c r="AH9" s="1">
        <f t="shared" si="18"/>
        <v>0.44618179827118415</v>
      </c>
      <c r="AI9" s="133">
        <f t="shared" si="19"/>
        <v>0.88825094208854549</v>
      </c>
      <c r="AJ9" s="132">
        <f t="shared" si="20"/>
        <v>5</v>
      </c>
      <c r="AK9" s="1">
        <f t="shared" si="21"/>
        <v>6.2635399538087926</v>
      </c>
      <c r="AL9" s="1">
        <f t="shared" si="6"/>
        <v>0.78463865505918107</v>
      </c>
      <c r="AM9" s="1">
        <f t="shared" si="22"/>
        <v>0.15427500000000002</v>
      </c>
      <c r="AN9" s="136">
        <f t="shared" ref="AN9:AN72" si="29">Vd_rect*t_dead*fsw*Z9</f>
        <v>0.12105571212135509</v>
      </c>
      <c r="AO9" s="133">
        <f t="shared" si="23"/>
        <v>1.0599693671805361</v>
      </c>
      <c r="AP9" s="132">
        <f t="shared" si="7"/>
        <v>0.40174680413206765</v>
      </c>
      <c r="AQ9" s="137">
        <f t="shared" si="8"/>
        <v>1.0120339340731477</v>
      </c>
      <c r="AR9" s="137">
        <f t="shared" si="9"/>
        <v>4.5123894138632881E-2</v>
      </c>
      <c r="AS9" s="1">
        <f t="shared" si="10"/>
        <v>5.9279999999999999E-2</v>
      </c>
      <c r="AT9" s="133">
        <f t="shared" si="24"/>
        <v>4.6053333333333335E-2</v>
      </c>
      <c r="AU9" s="132">
        <f t="shared" si="25"/>
        <v>4.5244922090194111</v>
      </c>
      <c r="AV9" s="1">
        <f t="shared" si="26"/>
        <v>90</v>
      </c>
      <c r="AW9" s="133">
        <f t="shared" si="27"/>
        <v>95.213418127637723</v>
      </c>
    </row>
    <row r="10" spans="1:49" x14ac:dyDescent="0.25">
      <c r="N10" s="1"/>
      <c r="O10" s="1"/>
      <c r="Q10">
        <v>3</v>
      </c>
      <c r="R10" s="132">
        <f t="shared" si="0"/>
        <v>18</v>
      </c>
      <c r="S10" s="1">
        <f t="shared" si="1"/>
        <v>5</v>
      </c>
      <c r="T10" s="1">
        <f t="shared" si="2"/>
        <v>11.52</v>
      </c>
      <c r="U10" s="133">
        <f t="shared" si="11"/>
        <v>7.8125</v>
      </c>
      <c r="V10" s="132">
        <f>IF(Calculations!$B$17=3,2,IF((S10*R10/T10)&lt;((T10*(1-(T10/R10)))/(2*Lm*fsw)),1,2))</f>
        <v>2</v>
      </c>
      <c r="W10" s="1">
        <f t="shared" si="12"/>
        <v>0.36</v>
      </c>
      <c r="X10" s="133">
        <f t="shared" si="3"/>
        <v>0.64</v>
      </c>
      <c r="Y10" s="132">
        <f t="shared" si="4"/>
        <v>1.6588799999999999</v>
      </c>
      <c r="Z10" s="1">
        <f t="shared" si="13"/>
        <v>8.64194</v>
      </c>
      <c r="AA10" s="1">
        <f t="shared" si="14"/>
        <v>7.8271629484251823</v>
      </c>
      <c r="AB10" s="1">
        <v>0</v>
      </c>
      <c r="AC10" s="1">
        <f t="shared" si="15"/>
        <v>1.0108639170497999</v>
      </c>
      <c r="AD10" s="133">
        <f t="shared" si="16"/>
        <v>1.0108639170497999</v>
      </c>
      <c r="AE10" s="132">
        <f t="shared" si="28"/>
        <v>2.8125</v>
      </c>
      <c r="AF10" s="1">
        <f t="shared" si="17"/>
        <v>4.6962977690551098</v>
      </c>
      <c r="AG10" s="1">
        <f t="shared" si="5"/>
        <v>0.44110425471264003</v>
      </c>
      <c r="AH10" s="1">
        <f t="shared" si="18"/>
        <v>0.44592359121199937</v>
      </c>
      <c r="AI10" s="133">
        <f t="shared" si="19"/>
        <v>0.88702784592463946</v>
      </c>
      <c r="AJ10" s="132">
        <f t="shared" si="20"/>
        <v>5</v>
      </c>
      <c r="AK10" s="1">
        <f t="shared" si="21"/>
        <v>6.2617303587401461</v>
      </c>
      <c r="AL10" s="1">
        <f t="shared" si="6"/>
        <v>0.78418534171136001</v>
      </c>
      <c r="AM10" s="1">
        <f t="shared" si="22"/>
        <v>0.15427500000000002</v>
      </c>
      <c r="AN10" s="136">
        <f t="shared" si="29"/>
        <v>0.12098716</v>
      </c>
      <c r="AO10" s="133">
        <f t="shared" si="23"/>
        <v>1.05944750171136</v>
      </c>
      <c r="AP10" s="132">
        <f t="shared" si="7"/>
        <v>0.40128234282885988</v>
      </c>
      <c r="AQ10" s="137">
        <f t="shared" si="8"/>
        <v>1.0108639170497999</v>
      </c>
      <c r="AR10" s="137">
        <f t="shared" si="9"/>
        <v>4.5077195568611728E-2</v>
      </c>
      <c r="AS10" s="1">
        <f t="shared" si="10"/>
        <v>5.9279999999999999E-2</v>
      </c>
      <c r="AT10" s="133">
        <f t="shared" si="24"/>
        <v>4.6079999999999996E-2</v>
      </c>
      <c r="AU10" s="132">
        <f t="shared" si="25"/>
        <v>4.5199227201330716</v>
      </c>
      <c r="AV10" s="1">
        <f t="shared" si="26"/>
        <v>90</v>
      </c>
      <c r="AW10" s="133">
        <f t="shared" si="27"/>
        <v>95.218021142996236</v>
      </c>
    </row>
    <row r="11" spans="1:49" x14ac:dyDescent="0.25">
      <c r="N11" s="1" t="s">
        <v>258</v>
      </c>
      <c r="O11" s="1">
        <v>150</v>
      </c>
      <c r="Q11">
        <v>4</v>
      </c>
      <c r="R11" s="132">
        <f t="shared" si="0"/>
        <v>18</v>
      </c>
      <c r="S11" s="1">
        <f t="shared" si="1"/>
        <v>5</v>
      </c>
      <c r="T11" s="1">
        <f t="shared" si="2"/>
        <v>11.526666666666667</v>
      </c>
      <c r="U11" s="133">
        <f t="shared" si="11"/>
        <v>7.8079814921920176</v>
      </c>
      <c r="V11" s="132">
        <f>IF(Calculations!$B$17=3,2,IF((S11*R11/T11)&lt;((T11*(1-(T11/R11)))/(2*Lm*fsw)),1,2))</f>
        <v>2</v>
      </c>
      <c r="W11" s="1">
        <f t="shared" si="12"/>
        <v>0.35962962962962963</v>
      </c>
      <c r="X11" s="133">
        <f t="shared" si="3"/>
        <v>0.64037037037037037</v>
      </c>
      <c r="Y11" s="132">
        <f t="shared" si="4"/>
        <v>1.6581323456790122</v>
      </c>
      <c r="Z11" s="1">
        <f t="shared" si="13"/>
        <v>8.637047665031524</v>
      </c>
      <c r="AA11" s="1">
        <f t="shared" si="14"/>
        <v>7.8226397008125499</v>
      </c>
      <c r="AB11" s="1">
        <v>0</v>
      </c>
      <c r="AC11" s="1">
        <f t="shared" si="15"/>
        <v>1.0096959161640229</v>
      </c>
      <c r="AD11" s="133">
        <f t="shared" si="16"/>
        <v>1.0096959161640229</v>
      </c>
      <c r="AE11" s="132">
        <f t="shared" si="28"/>
        <v>2.8079814921920181</v>
      </c>
      <c r="AF11" s="1">
        <f t="shared" si="17"/>
        <v>4.6911688042121407</v>
      </c>
      <c r="AG11" s="1">
        <f t="shared" si="5"/>
        <v>0.44014129499226329</v>
      </c>
      <c r="AH11" s="1">
        <f t="shared" si="18"/>
        <v>0.4456656828307316</v>
      </c>
      <c r="AI11" s="133">
        <f t="shared" si="19"/>
        <v>0.88580697782299489</v>
      </c>
      <c r="AJ11" s="132">
        <f t="shared" si="20"/>
        <v>4.9999999999999991</v>
      </c>
      <c r="AK11" s="1">
        <f t="shared" si="21"/>
        <v>6.2599222949742366</v>
      </c>
      <c r="AL11" s="1">
        <f t="shared" si="6"/>
        <v>0.7837325427823103</v>
      </c>
      <c r="AM11" s="1">
        <f t="shared" si="22"/>
        <v>0.15427500000000002</v>
      </c>
      <c r="AN11" s="136">
        <f t="shared" si="29"/>
        <v>0.12091866731044133</v>
      </c>
      <c r="AO11" s="133">
        <f t="shared" si="23"/>
        <v>1.0589262100927517</v>
      </c>
      <c r="AP11" s="132">
        <f t="shared" si="7"/>
        <v>0.4008186818711727</v>
      </c>
      <c r="AQ11" s="137">
        <f t="shared" si="8"/>
        <v>1.0096959161640229</v>
      </c>
      <c r="AR11" s="137">
        <f t="shared" si="9"/>
        <v>4.5030400767305995E-2</v>
      </c>
      <c r="AS11" s="1">
        <f t="shared" si="10"/>
        <v>5.9279999999999999E-2</v>
      </c>
      <c r="AT11" s="133">
        <f t="shared" si="24"/>
        <v>4.6106666666666671E-2</v>
      </c>
      <c r="AU11" s="132">
        <f t="shared" si="25"/>
        <v>4.5153607695489377</v>
      </c>
      <c r="AV11" s="1">
        <f t="shared" si="26"/>
        <v>90</v>
      </c>
      <c r="AW11" s="133">
        <f t="shared" si="27"/>
        <v>95.222617008722565</v>
      </c>
    </row>
    <row r="12" spans="1:49" x14ac:dyDescent="0.25">
      <c r="N12" s="1" t="s">
        <v>635</v>
      </c>
      <c r="O12" s="1">
        <f>(VIN_MAX-VIN_MIN)/(O11)</f>
        <v>6.6666666666666671E-3</v>
      </c>
      <c r="Q12">
        <v>5</v>
      </c>
      <c r="R12" s="132">
        <f t="shared" si="0"/>
        <v>18</v>
      </c>
      <c r="S12" s="1">
        <f t="shared" si="1"/>
        <v>5</v>
      </c>
      <c r="T12" s="1">
        <f t="shared" si="2"/>
        <v>11.533333333333333</v>
      </c>
      <c r="U12" s="133">
        <f t="shared" si="11"/>
        <v>7.803468208092486</v>
      </c>
      <c r="V12" s="132">
        <f>IF(Calculations!$B$17=3,2,IF((S12*R12/T12)&lt;((T12*(1-(T12/R12)))/(2*Lm*fsw)),1,2))</f>
        <v>2</v>
      </c>
      <c r="W12" s="1">
        <f t="shared" si="12"/>
        <v>0.35925925925925928</v>
      </c>
      <c r="X12" s="133">
        <f t="shared" si="3"/>
        <v>0.64074074074074072</v>
      </c>
      <c r="Y12" s="132">
        <f t="shared" si="4"/>
        <v>1.6573827160493828</v>
      </c>
      <c r="Z12" s="1">
        <f t="shared" si="13"/>
        <v>8.6321595661171777</v>
      </c>
      <c r="AA12" s="1">
        <f t="shared" si="14"/>
        <v>7.8181216326982979</v>
      </c>
      <c r="AB12" s="1">
        <v>0</v>
      </c>
      <c r="AC12" s="1">
        <f t="shared" si="15"/>
        <v>1.0085299267504741</v>
      </c>
      <c r="AD12" s="133">
        <f t="shared" si="16"/>
        <v>1.0085299267504741</v>
      </c>
      <c r="AE12" s="132">
        <f t="shared" si="28"/>
        <v>2.803468208092486</v>
      </c>
      <c r="AF12" s="1">
        <f t="shared" si="17"/>
        <v>4.6860444935430214</v>
      </c>
      <c r="AG12" s="1">
        <f t="shared" si="5"/>
        <v>0.43918025990929743</v>
      </c>
      <c r="AH12" s="1">
        <f t="shared" si="18"/>
        <v>0.44540807260944215</v>
      </c>
      <c r="AI12" s="133">
        <f t="shared" si="19"/>
        <v>0.88458833251873958</v>
      </c>
      <c r="AJ12" s="132">
        <f t="shared" si="20"/>
        <v>5</v>
      </c>
      <c r="AK12" s="1">
        <f t="shared" si="21"/>
        <v>6.2581157602109148</v>
      </c>
      <c r="AL12" s="1">
        <f t="shared" si="6"/>
        <v>0.78328025736400475</v>
      </c>
      <c r="AM12" s="1">
        <f t="shared" si="22"/>
        <v>0.15427500000000002</v>
      </c>
      <c r="AN12" s="136">
        <f t="shared" si="29"/>
        <v>0.1208502339256405</v>
      </c>
      <c r="AO12" s="133">
        <f t="shared" si="23"/>
        <v>1.0584054912896452</v>
      </c>
      <c r="AP12" s="132">
        <f t="shared" si="7"/>
        <v>0.40035581940700637</v>
      </c>
      <c r="AQ12" s="137">
        <f t="shared" si="8"/>
        <v>1.0085299267504741</v>
      </c>
      <c r="AR12" s="137">
        <f t="shared" si="9"/>
        <v>4.498350994897489E-2</v>
      </c>
      <c r="AS12" s="1">
        <f t="shared" si="10"/>
        <v>5.9279999999999999E-2</v>
      </c>
      <c r="AT12" s="133">
        <f t="shared" si="24"/>
        <v>4.6133333333333332E-2</v>
      </c>
      <c r="AU12" s="132">
        <f t="shared" si="25"/>
        <v>4.5108063399986476</v>
      </c>
      <c r="AV12" s="1">
        <f t="shared" si="26"/>
        <v>90</v>
      </c>
      <c r="AW12" s="133">
        <f t="shared" si="27"/>
        <v>95.227205740080962</v>
      </c>
    </row>
    <row r="13" spans="1:49" x14ac:dyDescent="0.25">
      <c r="Q13">
        <v>6</v>
      </c>
      <c r="R13" s="132">
        <f t="shared" si="0"/>
        <v>18</v>
      </c>
      <c r="S13" s="1">
        <f t="shared" si="1"/>
        <v>5</v>
      </c>
      <c r="T13" s="1">
        <f t="shared" si="2"/>
        <v>11.54</v>
      </c>
      <c r="U13" s="133">
        <f t="shared" si="11"/>
        <v>7.7989601386481811</v>
      </c>
      <c r="V13" s="132">
        <f>IF(Calculations!$B$17=3,2,IF((S13*R13/T13)&lt;((T13*(1-(T13/R13)))/(2*Lm*fsw)),1,2))</f>
        <v>2</v>
      </c>
      <c r="W13" s="1">
        <f t="shared" si="12"/>
        <v>0.35888888888888892</v>
      </c>
      <c r="X13" s="133">
        <f t="shared" si="3"/>
        <v>0.64111111111111108</v>
      </c>
      <c r="Y13" s="132">
        <f t="shared" si="4"/>
        <v>1.6566311111111112</v>
      </c>
      <c r="Z13" s="1">
        <f t="shared" si="13"/>
        <v>8.6272756942037372</v>
      </c>
      <c r="AA13" s="1">
        <f t="shared" si="14"/>
        <v>7.8136087350264534</v>
      </c>
      <c r="AB13" s="1">
        <v>0</v>
      </c>
      <c r="AC13" s="1">
        <f t="shared" si="15"/>
        <v>1.0073659441573479</v>
      </c>
      <c r="AD13" s="133">
        <f t="shared" si="16"/>
        <v>1.0073659441573479</v>
      </c>
      <c r="AE13" s="132">
        <f t="shared" si="28"/>
        <v>2.7989601386481806</v>
      </c>
      <c r="AF13" s="1">
        <f t="shared" si="17"/>
        <v>4.6809248270564838</v>
      </c>
      <c r="AG13" s="1">
        <f t="shared" si="5"/>
        <v>0.43822114473107548</v>
      </c>
      <c r="AH13" s="1">
        <f t="shared" si="18"/>
        <v>0.44515076003138931</v>
      </c>
      <c r="AI13" s="133">
        <f t="shared" si="19"/>
        <v>0.88337190476246485</v>
      </c>
      <c r="AJ13" s="132">
        <f t="shared" si="20"/>
        <v>5</v>
      </c>
      <c r="AK13" s="1">
        <f t="shared" si="21"/>
        <v>6.256310752154814</v>
      </c>
      <c r="AL13" s="1">
        <f t="shared" si="6"/>
        <v>0.78282848455055876</v>
      </c>
      <c r="AM13" s="1">
        <f t="shared" si="22"/>
        <v>0.15427500000000002</v>
      </c>
      <c r="AN13" s="136">
        <f t="shared" si="29"/>
        <v>0.12078185971885232</v>
      </c>
      <c r="AO13" s="133">
        <f t="shared" si="23"/>
        <v>1.0578853442694112</v>
      </c>
      <c r="AP13" s="132">
        <f t="shared" si="7"/>
        <v>0.39989375358973506</v>
      </c>
      <c r="AQ13" s="137">
        <f t="shared" si="8"/>
        <v>1.0073659441573479</v>
      </c>
      <c r="AR13" s="137">
        <f t="shared" si="9"/>
        <v>4.4936523328392486E-2</v>
      </c>
      <c r="AS13" s="1">
        <f t="shared" si="10"/>
        <v>5.9279999999999999E-2</v>
      </c>
      <c r="AT13" s="133">
        <f t="shared" si="24"/>
        <v>4.616E-2</v>
      </c>
      <c r="AU13" s="132">
        <f t="shared" si="25"/>
        <v>4.506259414264699</v>
      </c>
      <c r="AV13" s="1">
        <f t="shared" si="26"/>
        <v>90</v>
      </c>
      <c r="AW13" s="133">
        <f t="shared" si="27"/>
        <v>95.23178735229412</v>
      </c>
    </row>
    <row r="14" spans="1:49" x14ac:dyDescent="0.25">
      <c r="Q14">
        <v>7</v>
      </c>
      <c r="R14" s="132">
        <f t="shared" si="0"/>
        <v>18</v>
      </c>
      <c r="S14" s="1">
        <f t="shared" si="1"/>
        <v>5</v>
      </c>
      <c r="T14" s="1">
        <f t="shared" si="2"/>
        <v>11.546666666666667</v>
      </c>
      <c r="U14" s="133">
        <f t="shared" si="11"/>
        <v>7.7944572748267893</v>
      </c>
      <c r="V14" s="132">
        <f>IF(Calculations!$B$17=3,2,IF((S14*R14/T14)&lt;((T14*(1-(T14/R14)))/(2*Lm*fsw)),1,2))</f>
        <v>2</v>
      </c>
      <c r="W14" s="1">
        <f t="shared" si="12"/>
        <v>0.35851851851851846</v>
      </c>
      <c r="X14" s="133">
        <f t="shared" si="3"/>
        <v>0.64148148148148154</v>
      </c>
      <c r="Y14" s="132">
        <f t="shared" si="4"/>
        <v>1.6558775308641973</v>
      </c>
      <c r="Z14" s="1">
        <f t="shared" si="13"/>
        <v>8.622396040258888</v>
      </c>
      <c r="AA14" s="1">
        <f t="shared" si="14"/>
        <v>7.809100998762192</v>
      </c>
      <c r="AB14" s="1">
        <v>0</v>
      </c>
      <c r="AC14" s="1">
        <f t="shared" si="15"/>
        <v>1.0062039637463331</v>
      </c>
      <c r="AD14" s="133">
        <f t="shared" si="16"/>
        <v>1.0062039637463331</v>
      </c>
      <c r="AE14" s="132">
        <f t="shared" si="28"/>
        <v>2.7944572748267893</v>
      </c>
      <c r="AF14" s="1">
        <f t="shared" si="17"/>
        <v>4.6758097947796546</v>
      </c>
      <c r="AG14" s="1">
        <f t="shared" si="5"/>
        <v>0.43726394473914709</v>
      </c>
      <c r="AH14" s="1">
        <f t="shared" si="18"/>
        <v>0.44489374458102476</v>
      </c>
      <c r="AI14" s="133">
        <f t="shared" si="19"/>
        <v>0.88215768932017191</v>
      </c>
      <c r="AJ14" s="132">
        <f t="shared" si="20"/>
        <v>5</v>
      </c>
      <c r="AK14" s="1">
        <f t="shared" si="21"/>
        <v>6.2545072685153471</v>
      </c>
      <c r="AL14" s="1">
        <f t="shared" si="6"/>
        <v>0.78237722343822613</v>
      </c>
      <c r="AM14" s="1">
        <f t="shared" si="22"/>
        <v>0.15427500000000002</v>
      </c>
      <c r="AN14" s="136">
        <f t="shared" si="29"/>
        <v>0.12071354456362443</v>
      </c>
      <c r="AO14" s="133">
        <f t="shared" si="23"/>
        <v>1.0573657680018507</v>
      </c>
      <c r="AP14" s="132">
        <f t="shared" si="7"/>
        <v>0.39943248257808972</v>
      </c>
      <c r="AQ14" s="137">
        <f t="shared" si="8"/>
        <v>1.0062039637463331</v>
      </c>
      <c r="AR14" s="137">
        <f t="shared" si="9"/>
        <v>4.4889441120847424E-2</v>
      </c>
      <c r="AS14" s="1">
        <f t="shared" si="10"/>
        <v>5.9279999999999999E-2</v>
      </c>
      <c r="AT14" s="133">
        <f t="shared" si="24"/>
        <v>4.6186666666666668E-2</v>
      </c>
      <c r="AU14" s="132">
        <f t="shared" si="25"/>
        <v>4.5017199751802934</v>
      </c>
      <c r="AV14" s="1">
        <f t="shared" si="26"/>
        <v>90</v>
      </c>
      <c r="AW14" s="133">
        <f t="shared" si="27"/>
        <v>95.236361860543255</v>
      </c>
    </row>
    <row r="15" spans="1:49" x14ac:dyDescent="0.25">
      <c r="O15">
        <f>0.205*2.5/(Lm*fsw)</f>
        <v>0.20499999999999999</v>
      </c>
      <c r="Q15">
        <v>8</v>
      </c>
      <c r="R15" s="132">
        <f t="shared" si="0"/>
        <v>18</v>
      </c>
      <c r="S15" s="1">
        <f t="shared" si="1"/>
        <v>5</v>
      </c>
      <c r="T15" s="1">
        <f t="shared" si="2"/>
        <v>11.553333333333333</v>
      </c>
      <c r="U15" s="133">
        <f t="shared" si="11"/>
        <v>7.7899596076168498</v>
      </c>
      <c r="V15" s="132">
        <f>IF(Calculations!$B$17=3,2,IF((S15*R15/T15)&lt;((T15*(1-(T15/R15)))/(2*Lm*fsw)),1,2))</f>
        <v>2</v>
      </c>
      <c r="W15" s="1">
        <f t="shared" si="12"/>
        <v>0.35814814814814822</v>
      </c>
      <c r="X15" s="133">
        <f t="shared" si="3"/>
        <v>0.64185185185185178</v>
      </c>
      <c r="Y15" s="132">
        <f t="shared" si="4"/>
        <v>1.6551219753086421</v>
      </c>
      <c r="Z15" s="1">
        <f t="shared" si="13"/>
        <v>8.61752059527117</v>
      </c>
      <c r="AA15" s="1">
        <f t="shared" si="14"/>
        <v>7.8045984148917746</v>
      </c>
      <c r="AB15" s="1">
        <v>0</v>
      </c>
      <c r="AC15" s="1">
        <f t="shared" si="15"/>
        <v>1.0050439808925649</v>
      </c>
      <c r="AD15" s="133">
        <f t="shared" si="16"/>
        <v>1.0050439808925649</v>
      </c>
      <c r="AE15" s="132">
        <f t="shared" si="28"/>
        <v>2.7899596076168502</v>
      </c>
      <c r="AF15" s="1">
        <f t="shared" si="17"/>
        <v>4.6706993867579945</v>
      </c>
      <c r="AG15" s="1">
        <f t="shared" si="5"/>
        <v>0.43630865522923012</v>
      </c>
      <c r="AH15" s="1">
        <f t="shared" si="18"/>
        <v>0.44463702574399006</v>
      </c>
      <c r="AI15" s="133">
        <f t="shared" si="19"/>
        <v>0.88094568097322012</v>
      </c>
      <c r="AJ15" s="132">
        <f t="shared" si="20"/>
        <v>5</v>
      </c>
      <c r="AK15" s="1">
        <f t="shared" si="21"/>
        <v>6.2527053070066936</v>
      </c>
      <c r="AL15" s="1">
        <f t="shared" si="6"/>
        <v>0.78192647312539343</v>
      </c>
      <c r="AM15" s="1">
        <f t="shared" si="22"/>
        <v>0.15427500000000002</v>
      </c>
      <c r="AN15" s="136">
        <f t="shared" si="29"/>
        <v>0.12064528833379638</v>
      </c>
      <c r="AO15" s="133">
        <f t="shared" si="23"/>
        <v>1.0568467614591899</v>
      </c>
      <c r="AP15" s="132">
        <f t="shared" si="7"/>
        <v>0.39897200453613935</v>
      </c>
      <c r="AQ15" s="137">
        <f t="shared" si="8"/>
        <v>1.0050439808925649</v>
      </c>
      <c r="AR15" s="137">
        <f t="shared" si="9"/>
        <v>4.4842263542142102E-2</v>
      </c>
      <c r="AS15" s="1">
        <f t="shared" si="10"/>
        <v>5.9279999999999999E-2</v>
      </c>
      <c r="AT15" s="133">
        <f t="shared" si="24"/>
        <v>4.6213333333333335E-2</v>
      </c>
      <c r="AU15" s="132">
        <f t="shared" si="25"/>
        <v>4.4971880056291544</v>
      </c>
      <c r="AV15" s="1">
        <f t="shared" si="26"/>
        <v>90</v>
      </c>
      <c r="AW15" s="133">
        <f t="shared" si="27"/>
        <v>95.240929279968356</v>
      </c>
    </row>
    <row r="16" spans="1:49" x14ac:dyDescent="0.25">
      <c r="Q16">
        <v>9</v>
      </c>
      <c r="R16" s="132">
        <f t="shared" si="0"/>
        <v>18</v>
      </c>
      <c r="S16" s="1">
        <f t="shared" si="1"/>
        <v>5</v>
      </c>
      <c r="T16" s="1">
        <f t="shared" si="2"/>
        <v>11.56</v>
      </c>
      <c r="U16" s="133">
        <f t="shared" si="11"/>
        <v>7.7854671280276815</v>
      </c>
      <c r="V16" s="132">
        <f>IF(Calculations!$B$17=3,2,IF((S16*R16/T16)&lt;((T16*(1-(T16/R16)))/(2*Lm*fsw)),1,2))</f>
        <v>2</v>
      </c>
      <c r="W16" s="1">
        <f t="shared" si="12"/>
        <v>0.35777777777777775</v>
      </c>
      <c r="X16" s="133">
        <f t="shared" si="3"/>
        <v>0.64222222222222225</v>
      </c>
      <c r="Y16" s="132">
        <f t="shared" si="4"/>
        <v>1.6543644444444443</v>
      </c>
      <c r="Z16" s="1">
        <f t="shared" si="13"/>
        <v>8.6126493502499031</v>
      </c>
      <c r="AA16" s="1">
        <f t="shared" si="14"/>
        <v>7.8001009744224739</v>
      </c>
      <c r="AB16" s="1">
        <v>0</v>
      </c>
      <c r="AC16" s="1">
        <f t="shared" si="15"/>
        <v>1.0038859909845761</v>
      </c>
      <c r="AD16" s="133">
        <f t="shared" si="16"/>
        <v>1.0038859909845761</v>
      </c>
      <c r="AE16" s="132">
        <f t="shared" si="28"/>
        <v>2.7854671280276815</v>
      </c>
      <c r="AF16" s="1">
        <f t="shared" si="17"/>
        <v>4.6655935930552079</v>
      </c>
      <c r="AG16" s="1">
        <f t="shared" si="5"/>
        <v>0.43535527151115611</v>
      </c>
      <c r="AH16" s="1">
        <f t="shared" si="18"/>
        <v>0.44438060300711352</v>
      </c>
      <c r="AI16" s="133">
        <f t="shared" si="19"/>
        <v>0.87973587451826962</v>
      </c>
      <c r="AJ16" s="132">
        <f t="shared" si="20"/>
        <v>5</v>
      </c>
      <c r="AK16" s="1">
        <f t="shared" si="21"/>
        <v>6.2509048653477857</v>
      </c>
      <c r="AL16" s="1">
        <f t="shared" si="6"/>
        <v>0.78147623271257238</v>
      </c>
      <c r="AM16" s="1">
        <f t="shared" si="22"/>
        <v>0.15427500000000002</v>
      </c>
      <c r="AN16" s="136">
        <f t="shared" si="29"/>
        <v>0.12057709090349865</v>
      </c>
      <c r="AO16" s="133">
        <f t="shared" si="23"/>
        <v>1.056328323616071</v>
      </c>
      <c r="AP16" s="132">
        <f t="shared" si="7"/>
        <v>0.39851231763327105</v>
      </c>
      <c r="AQ16" s="137">
        <f t="shared" si="8"/>
        <v>1.0038859909845761</v>
      </c>
      <c r="AR16" s="137">
        <f t="shared" si="9"/>
        <v>4.47949908085927E-2</v>
      </c>
      <c r="AS16" s="1">
        <f t="shared" si="10"/>
        <v>5.9279999999999999E-2</v>
      </c>
      <c r="AT16" s="133">
        <f t="shared" si="24"/>
        <v>4.6240000000000003E-2</v>
      </c>
      <c r="AU16" s="132">
        <f t="shared" si="25"/>
        <v>4.4926634885453565</v>
      </c>
      <c r="AV16" s="1">
        <f t="shared" si="26"/>
        <v>90</v>
      </c>
      <c r="AW16" s="133">
        <f t="shared" si="27"/>
        <v>95.245489625668171</v>
      </c>
    </row>
    <row r="17" spans="17:49" x14ac:dyDescent="0.25">
      <c r="Q17">
        <v>10</v>
      </c>
      <c r="R17" s="132">
        <f t="shared" si="0"/>
        <v>18</v>
      </c>
      <c r="S17" s="1">
        <f t="shared" si="1"/>
        <v>5</v>
      </c>
      <c r="T17" s="1">
        <f t="shared" si="2"/>
        <v>11.566666666666666</v>
      </c>
      <c r="U17" s="133">
        <f t="shared" si="11"/>
        <v>7.7809798270893378</v>
      </c>
      <c r="V17" s="132">
        <f>IF(Calculations!$B$17=3,2,IF((S17*R17/T17)&lt;((T17*(1-(T17/R17)))/(2*Lm*fsw)),1,2))</f>
        <v>2</v>
      </c>
      <c r="W17" s="1">
        <f t="shared" si="12"/>
        <v>0.3574074074074074</v>
      </c>
      <c r="X17" s="133">
        <f t="shared" si="3"/>
        <v>0.6425925925925926</v>
      </c>
      <c r="Y17" s="132">
        <f t="shared" si="4"/>
        <v>1.6536049382716047</v>
      </c>
      <c r="Z17" s="1">
        <f t="shared" si="13"/>
        <v>8.6077822962251407</v>
      </c>
      <c r="AA17" s="1">
        <f t="shared" si="14"/>
        <v>7.7956086683825339</v>
      </c>
      <c r="AB17" s="1">
        <v>0</v>
      </c>
      <c r="AC17" s="1">
        <f t="shared" si="15"/>
        <v>1.002729989424255</v>
      </c>
      <c r="AD17" s="133">
        <f t="shared" si="16"/>
        <v>1.002729989424255</v>
      </c>
      <c r="AE17" s="132">
        <f t="shared" si="28"/>
        <v>2.7809798270893373</v>
      </c>
      <c r="AF17" s="1">
        <f t="shared" si="17"/>
        <v>4.6604924037531932</v>
      </c>
      <c r="AG17" s="1">
        <f t="shared" si="5"/>
        <v>0.43440378890882436</v>
      </c>
      <c r="AH17" s="1">
        <f t="shared" si="18"/>
        <v>0.44412447585840631</v>
      </c>
      <c r="AI17" s="133">
        <f t="shared" si="19"/>
        <v>0.87852826476723067</v>
      </c>
      <c r="AJ17" s="132">
        <f t="shared" si="20"/>
        <v>5.0000000000000009</v>
      </c>
      <c r="AK17" s="1">
        <f t="shared" si="21"/>
        <v>6.249105941262294</v>
      </c>
      <c r="AL17" s="1">
        <f t="shared" si="6"/>
        <v>0.78102650130239404</v>
      </c>
      <c r="AM17" s="1">
        <f t="shared" si="22"/>
        <v>0.15427500000000002</v>
      </c>
      <c r="AN17" s="136">
        <f t="shared" si="29"/>
        <v>0.12050895214715197</v>
      </c>
      <c r="AO17" s="133">
        <f t="shared" si="23"/>
        <v>1.055810453449546</v>
      </c>
      <c r="AP17" s="132">
        <f t="shared" si="7"/>
        <v>0.39805342004417388</v>
      </c>
      <c r="AQ17" s="137">
        <f t="shared" si="8"/>
        <v>1.002729989424255</v>
      </c>
      <c r="AR17" s="137">
        <f t="shared" si="9"/>
        <v>4.4747623137028715E-2</v>
      </c>
      <c r="AS17" s="1">
        <f t="shared" si="10"/>
        <v>5.9279999999999999E-2</v>
      </c>
      <c r="AT17" s="133">
        <f t="shared" si="24"/>
        <v>4.6266666666666664E-2</v>
      </c>
      <c r="AU17" s="132">
        <f t="shared" si="25"/>
        <v>4.4881464069131551</v>
      </c>
      <c r="AV17" s="1">
        <f t="shared" si="26"/>
        <v>90</v>
      </c>
      <c r="AW17" s="133">
        <f t="shared" si="27"/>
        <v>95.250042912700437</v>
      </c>
    </row>
    <row r="18" spans="17:49" x14ac:dyDescent="0.25">
      <c r="Q18">
        <v>11</v>
      </c>
      <c r="R18" s="132">
        <f t="shared" si="0"/>
        <v>18</v>
      </c>
      <c r="S18" s="1">
        <f t="shared" si="1"/>
        <v>5</v>
      </c>
      <c r="T18" s="1">
        <f t="shared" si="2"/>
        <v>11.573333333333334</v>
      </c>
      <c r="U18" s="133">
        <f t="shared" si="11"/>
        <v>7.7764976958525338</v>
      </c>
      <c r="V18" s="132">
        <f>IF(Calculations!$B$17=3,2,IF((S18*R18/T18)&lt;((T18*(1-(T18/R18)))/(2*Lm*fsw)),1,2))</f>
        <v>2</v>
      </c>
      <c r="W18" s="1">
        <f t="shared" si="12"/>
        <v>0.35703703703703704</v>
      </c>
      <c r="X18" s="133">
        <f t="shared" si="3"/>
        <v>0.64296296296296296</v>
      </c>
      <c r="Y18" s="132">
        <f t="shared" si="4"/>
        <v>1.6528434567901236</v>
      </c>
      <c r="Z18" s="1">
        <f t="shared" si="13"/>
        <v>8.6029194242475953</v>
      </c>
      <c r="AA18" s="1">
        <f t="shared" si="14"/>
        <v>7.791121487821095</v>
      </c>
      <c r="AB18" s="1">
        <v>0</v>
      </c>
      <c r="AC18" s="1">
        <f t="shared" si="15"/>
        <v>1.0015759716267953</v>
      </c>
      <c r="AD18" s="133">
        <f t="shared" si="16"/>
        <v>1.0015759716267953</v>
      </c>
      <c r="AE18" s="132">
        <f t="shared" si="28"/>
        <v>2.7764976958525343</v>
      </c>
      <c r="AF18" s="1">
        <f t="shared" si="17"/>
        <v>4.6553958089519538</v>
      </c>
      <c r="AG18" s="1">
        <f t="shared" si="5"/>
        <v>0.43345420276014834</v>
      </c>
      <c r="AH18" s="1">
        <f t="shared" si="18"/>
        <v>0.4438686437870592</v>
      </c>
      <c r="AI18" s="133">
        <f t="shared" si="19"/>
        <v>0.8773228465472076</v>
      </c>
      <c r="AJ18" s="132">
        <f t="shared" si="20"/>
        <v>4.9999999999999991</v>
      </c>
      <c r="AK18" s="1">
        <f t="shared" si="21"/>
        <v>6.2473085324786197</v>
      </c>
      <c r="AL18" s="1">
        <f t="shared" si="6"/>
        <v>0.7805772779996033</v>
      </c>
      <c r="AM18" s="1">
        <f t="shared" si="22"/>
        <v>0.15427500000000002</v>
      </c>
      <c r="AN18" s="136">
        <f t="shared" si="29"/>
        <v>0.12044087193946634</v>
      </c>
      <c r="AO18" s="133">
        <f t="shared" si="23"/>
        <v>1.0552931499390696</v>
      </c>
      <c r="AP18" s="132">
        <f t="shared" si="7"/>
        <v>0.3975953099488187</v>
      </c>
      <c r="AQ18" s="137">
        <f t="shared" si="8"/>
        <v>1.0015759716267953</v>
      </c>
      <c r="AR18" s="137">
        <f t="shared" si="9"/>
        <v>4.4700160744791932E-2</v>
      </c>
      <c r="AS18" s="1">
        <f t="shared" si="10"/>
        <v>5.9279999999999999E-2</v>
      </c>
      <c r="AT18" s="133">
        <f t="shared" si="24"/>
        <v>4.6293333333333339E-2</v>
      </c>
      <c r="AU18" s="132">
        <f t="shared" si="25"/>
        <v>4.4836367437668123</v>
      </c>
      <c r="AV18" s="1">
        <f t="shared" si="26"/>
        <v>90</v>
      </c>
      <c r="AW18" s="133">
        <f t="shared" si="27"/>
        <v>95.254589156081991</v>
      </c>
    </row>
    <row r="19" spans="17:49" x14ac:dyDescent="0.25">
      <c r="Q19">
        <v>12</v>
      </c>
      <c r="R19" s="132">
        <f t="shared" si="0"/>
        <v>18</v>
      </c>
      <c r="S19" s="1">
        <f t="shared" si="1"/>
        <v>5</v>
      </c>
      <c r="T19" s="1">
        <f t="shared" si="2"/>
        <v>11.58</v>
      </c>
      <c r="U19" s="133">
        <f t="shared" si="11"/>
        <v>7.7720207253886011</v>
      </c>
      <c r="V19" s="132">
        <f>IF(Calculations!$B$17=3,2,IF((S19*R19/T19)&lt;((T19*(1-(T19/R19)))/(2*Lm*fsw)),1,2))</f>
        <v>2</v>
      </c>
      <c r="W19" s="1">
        <f t="shared" si="12"/>
        <v>0.35666666666666669</v>
      </c>
      <c r="X19" s="133">
        <f t="shared" si="3"/>
        <v>0.64333333333333331</v>
      </c>
      <c r="Y19" s="132">
        <f t="shared" si="4"/>
        <v>1.6520800000000002</v>
      </c>
      <c r="Z19" s="1">
        <f t="shared" si="13"/>
        <v>8.598060725388601</v>
      </c>
      <c r="AA19" s="1">
        <f t="shared" si="14"/>
        <v>7.7866394238081487</v>
      </c>
      <c r="AB19" s="1">
        <v>0</v>
      </c>
      <c r="AC19" s="1">
        <f t="shared" si="15"/>
        <v>1.0004239330206546</v>
      </c>
      <c r="AD19" s="133">
        <f t="shared" si="16"/>
        <v>1.0004239330206546</v>
      </c>
      <c r="AE19" s="132">
        <f t="shared" si="28"/>
        <v>2.7720207253886011</v>
      </c>
      <c r="AF19" s="1">
        <f t="shared" si="17"/>
        <v>4.6503037987695501</v>
      </c>
      <c r="AG19" s="1">
        <f t="shared" si="5"/>
        <v>0.43250650841701016</v>
      </c>
      <c r="AH19" s="1">
        <f t="shared" si="18"/>
        <v>0.44361310628343981</v>
      </c>
      <c r="AI19" s="133">
        <f t="shared" si="19"/>
        <v>0.87611961470044997</v>
      </c>
      <c r="AJ19" s="132">
        <f t="shared" si="20"/>
        <v>5</v>
      </c>
      <c r="AK19" s="1">
        <f t="shared" si="21"/>
        <v>6.2455126367298934</v>
      </c>
      <c r="AL19" s="1">
        <f t="shared" si="6"/>
        <v>0.78012856191105573</v>
      </c>
      <c r="AM19" s="1">
        <f t="shared" si="22"/>
        <v>0.15427500000000002</v>
      </c>
      <c r="AN19" s="136">
        <f t="shared" si="29"/>
        <v>0.12037285015544041</v>
      </c>
      <c r="AO19" s="133">
        <f t="shared" si="23"/>
        <v>1.0547764120664962</v>
      </c>
      <c r="AP19" s="132">
        <f t="shared" si="7"/>
        <v>0.39713798553244156</v>
      </c>
      <c r="AQ19" s="137">
        <f t="shared" si="8"/>
        <v>1.0004239330206546</v>
      </c>
      <c r="AR19" s="137">
        <f t="shared" si="9"/>
        <v>4.4652603849736863E-2</v>
      </c>
      <c r="AS19" s="1">
        <f t="shared" si="10"/>
        <v>5.9279999999999999E-2</v>
      </c>
      <c r="AT19" s="133">
        <f t="shared" si="24"/>
        <v>4.632E-2</v>
      </c>
      <c r="AU19" s="132">
        <f t="shared" si="25"/>
        <v>4.4791344821904335</v>
      </c>
      <c r="AV19" s="1">
        <f t="shared" si="26"/>
        <v>90</v>
      </c>
      <c r="AW19" s="133">
        <f t="shared" si="27"/>
        <v>95.259128370788844</v>
      </c>
    </row>
    <row r="20" spans="17:49" x14ac:dyDescent="0.25">
      <c r="Q20">
        <v>13</v>
      </c>
      <c r="R20" s="132">
        <f t="shared" si="0"/>
        <v>18</v>
      </c>
      <c r="S20" s="1">
        <f t="shared" si="1"/>
        <v>5</v>
      </c>
      <c r="T20" s="1">
        <f t="shared" si="2"/>
        <v>11.586666666666666</v>
      </c>
      <c r="U20" s="133">
        <f t="shared" si="11"/>
        <v>7.7675489067894139</v>
      </c>
      <c r="V20" s="132">
        <f>IF(Calculations!$B$17=3,2,IF((S20*R20/T20)&lt;((T20*(1-(T20/R20)))/(2*Lm*fsw)),1,2))</f>
        <v>2</v>
      </c>
      <c r="W20" s="1">
        <f t="shared" si="12"/>
        <v>0.35629629629629633</v>
      </c>
      <c r="X20" s="133">
        <f t="shared" si="3"/>
        <v>0.64370370370370367</v>
      </c>
      <c r="Y20" s="132">
        <f t="shared" si="4"/>
        <v>1.6513145679012347</v>
      </c>
      <c r="Z20" s="1">
        <f t="shared" si="13"/>
        <v>8.5932061907400303</v>
      </c>
      <c r="AA20" s="1">
        <f t="shared" si="14"/>
        <v>7.7821624674344632</v>
      </c>
      <c r="AB20" s="1">
        <v>0</v>
      </c>
      <c r="AC20" s="1">
        <f t="shared" si="15"/>
        <v>0.99927386904750326</v>
      </c>
      <c r="AD20" s="133">
        <f t="shared" si="16"/>
        <v>0.99927386904750326</v>
      </c>
      <c r="AE20" s="132">
        <f t="shared" si="28"/>
        <v>2.7675489067894139</v>
      </c>
      <c r="AF20" s="1">
        <f t="shared" si="17"/>
        <v>4.6452163633420067</v>
      </c>
      <c r="AG20" s="1">
        <f t="shared" si="5"/>
        <v>0.43156070124520673</v>
      </c>
      <c r="AH20" s="1">
        <f t="shared" si="18"/>
        <v>0.44335786283908801</v>
      </c>
      <c r="AI20" s="133">
        <f t="shared" si="19"/>
        <v>0.87491856408429469</v>
      </c>
      <c r="AJ20" s="132">
        <f t="shared" si="20"/>
        <v>5</v>
      </c>
      <c r="AK20" s="1">
        <f t="shared" si="21"/>
        <v>6.2437182517539425</v>
      </c>
      <c r="AL20" s="1">
        <f t="shared" si="6"/>
        <v>0.77968035214570619</v>
      </c>
      <c r="AM20" s="1">
        <f t="shared" si="22"/>
        <v>0.15427500000000002</v>
      </c>
      <c r="AN20" s="136">
        <f t="shared" si="29"/>
        <v>0.12030488667036043</v>
      </c>
      <c r="AO20" s="133">
        <f t="shared" si="23"/>
        <v>1.0542602388160667</v>
      </c>
      <c r="AP20" s="132">
        <f t="shared" si="7"/>
        <v>0.39668144498552399</v>
      </c>
      <c r="AQ20" s="137">
        <f t="shared" si="8"/>
        <v>0.99927386904750326</v>
      </c>
      <c r="AR20" s="137">
        <f t="shared" si="9"/>
        <v>4.4604952670229396E-2</v>
      </c>
      <c r="AS20" s="1">
        <f t="shared" si="10"/>
        <v>5.9279999999999999E-2</v>
      </c>
      <c r="AT20" s="133">
        <f t="shared" si="24"/>
        <v>4.6346666666666668E-2</v>
      </c>
      <c r="AU20" s="132">
        <f t="shared" si="25"/>
        <v>4.4746396053177877</v>
      </c>
      <c r="AV20" s="1">
        <f t="shared" si="26"/>
        <v>90</v>
      </c>
      <c r="AW20" s="133">
        <f t="shared" si="27"/>
        <v>95.263660571756319</v>
      </c>
    </row>
    <row r="21" spans="17:49" x14ac:dyDescent="0.25">
      <c r="Q21">
        <v>14</v>
      </c>
      <c r="R21" s="132">
        <f t="shared" si="0"/>
        <v>18</v>
      </c>
      <c r="S21" s="1">
        <f t="shared" si="1"/>
        <v>5</v>
      </c>
      <c r="T21" s="1">
        <f t="shared" si="2"/>
        <v>11.593333333333334</v>
      </c>
      <c r="U21" s="133">
        <f t="shared" si="11"/>
        <v>7.7630822311673375</v>
      </c>
      <c r="V21" s="132">
        <f>IF(Calculations!$B$17=3,2,IF((S21*R21/T21)&lt;((T21*(1-(T21/R21)))/(2*Lm*fsw)),1,2))</f>
        <v>2</v>
      </c>
      <c r="W21" s="1">
        <f t="shared" si="12"/>
        <v>0.35592592592592587</v>
      </c>
      <c r="X21" s="133">
        <f t="shared" si="3"/>
        <v>0.64407407407407413</v>
      </c>
      <c r="Y21" s="132">
        <f t="shared" si="4"/>
        <v>1.6505471604938269</v>
      </c>
      <c r="Z21" s="1">
        <f t="shared" si="13"/>
        <v>8.5883558114142513</v>
      </c>
      <c r="AA21" s="1">
        <f t="shared" si="14"/>
        <v>7.7776906098115379</v>
      </c>
      <c r="AB21" s="1">
        <v>0</v>
      </c>
      <c r="AC21" s="1">
        <f t="shared" si="15"/>
        <v>0.99812577516218448</v>
      </c>
      <c r="AD21" s="133">
        <f t="shared" si="16"/>
        <v>0.99812577516218448</v>
      </c>
      <c r="AE21" s="132">
        <f t="shared" si="28"/>
        <v>2.7630822311673371</v>
      </c>
      <c r="AF21" s="1">
        <f t="shared" si="17"/>
        <v>4.6401334928232592</v>
      </c>
      <c r="AG21" s="1">
        <f t="shared" si="5"/>
        <v>0.43061677662440362</v>
      </c>
      <c r="AH21" s="1">
        <f t="shared" si="18"/>
        <v>0.44310291294671361</v>
      </c>
      <c r="AI21" s="133">
        <f t="shared" si="19"/>
        <v>0.87371968957111723</v>
      </c>
      <c r="AJ21" s="132">
        <f t="shared" si="20"/>
        <v>5</v>
      </c>
      <c r="AK21" s="1">
        <f t="shared" si="21"/>
        <v>6.2419253752932988</v>
      </c>
      <c r="AL21" s="1">
        <f t="shared" si="6"/>
        <v>0.77923264781460777</v>
      </c>
      <c r="AM21" s="1">
        <f t="shared" si="22"/>
        <v>0.15427500000000002</v>
      </c>
      <c r="AN21" s="136">
        <f t="shared" si="29"/>
        <v>0.12023698135979952</v>
      </c>
      <c r="AO21" s="133">
        <f t="shared" si="23"/>
        <v>1.0537446291744073</v>
      </c>
      <c r="AP21" s="132">
        <f t="shared" si="7"/>
        <v>0.39622568650377621</v>
      </c>
      <c r="AQ21" s="137">
        <f t="shared" si="8"/>
        <v>0.99812577516218448</v>
      </c>
      <c r="AR21" s="137">
        <f t="shared" si="9"/>
        <v>4.4557207425147377E-2</v>
      </c>
      <c r="AS21" s="1">
        <f t="shared" si="10"/>
        <v>5.9279999999999999E-2</v>
      </c>
      <c r="AT21" s="133">
        <f t="shared" si="24"/>
        <v>4.6373333333333336E-2</v>
      </c>
      <c r="AU21" s="132">
        <f t="shared" si="25"/>
        <v>4.4701520963321499</v>
      </c>
      <c r="AV21" s="1">
        <f t="shared" si="26"/>
        <v>90</v>
      </c>
      <c r="AW21" s="133">
        <f t="shared" si="27"/>
        <v>95.268185773879239</v>
      </c>
    </row>
    <row r="22" spans="17:49" x14ac:dyDescent="0.25">
      <c r="Q22">
        <v>15</v>
      </c>
      <c r="R22" s="132">
        <f t="shared" si="0"/>
        <v>18</v>
      </c>
      <c r="S22" s="1">
        <f t="shared" si="1"/>
        <v>5</v>
      </c>
      <c r="T22" s="1">
        <f t="shared" si="2"/>
        <v>11.6</v>
      </c>
      <c r="U22" s="133">
        <f t="shared" si="11"/>
        <v>7.7586206896551726</v>
      </c>
      <c r="V22" s="132">
        <f>IF(Calculations!$B$17=3,2,IF((S22*R22/T22)&lt;((T22*(1-(T22/R22)))/(2*Lm*fsw)),1,2))</f>
        <v>2</v>
      </c>
      <c r="W22" s="1">
        <f t="shared" si="12"/>
        <v>0.35555555555555562</v>
      </c>
      <c r="X22" s="133">
        <f t="shared" si="3"/>
        <v>0.64444444444444438</v>
      </c>
      <c r="Y22" s="132">
        <f t="shared" si="4"/>
        <v>1.649777777777778</v>
      </c>
      <c r="Z22" s="1">
        <f t="shared" si="13"/>
        <v>8.5835095785440618</v>
      </c>
      <c r="AA22" s="1">
        <f t="shared" si="14"/>
        <v>7.7732238420715394</v>
      </c>
      <c r="AB22" s="1">
        <v>0</v>
      </c>
      <c r="AC22" s="1">
        <f t="shared" si="15"/>
        <v>0.9969796468326656</v>
      </c>
      <c r="AD22" s="133">
        <f t="shared" si="16"/>
        <v>0.9969796468326656</v>
      </c>
      <c r="AE22" s="132">
        <f t="shared" si="28"/>
        <v>2.758620689655173</v>
      </c>
      <c r="AF22" s="1">
        <f t="shared" si="17"/>
        <v>4.6350551773850812</v>
      </c>
      <c r="AG22" s="1">
        <f t="shared" si="5"/>
        <v>0.42967472994808498</v>
      </c>
      <c r="AH22" s="1">
        <f t="shared" si="18"/>
        <v>0.44284825610019252</v>
      </c>
      <c r="AI22" s="133">
        <f t="shared" si="19"/>
        <v>0.87252298604827749</v>
      </c>
      <c r="AJ22" s="132">
        <f t="shared" si="20"/>
        <v>5</v>
      </c>
      <c r="AK22" s="1">
        <f t="shared" si="21"/>
        <v>6.2401340050951779</v>
      </c>
      <c r="AL22" s="1">
        <f t="shared" si="6"/>
        <v>0.77878544803090377</v>
      </c>
      <c r="AM22" s="1">
        <f t="shared" si="22"/>
        <v>0.15427500000000002</v>
      </c>
      <c r="AN22" s="136">
        <f t="shared" si="29"/>
        <v>0.12016913409961687</v>
      </c>
      <c r="AO22" s="133">
        <f t="shared" si="23"/>
        <v>1.0532295821305206</v>
      </c>
      <c r="AP22" s="132">
        <f t="shared" si="7"/>
        <v>0.39577070828811872</v>
      </c>
      <c r="AQ22" s="137">
        <f t="shared" si="8"/>
        <v>0.9969796468326656</v>
      </c>
      <c r="AR22" s="137">
        <f t="shared" si="9"/>
        <v>4.450936833387921E-2</v>
      </c>
      <c r="AS22" s="1">
        <f t="shared" si="10"/>
        <v>5.9279999999999999E-2</v>
      </c>
      <c r="AT22" s="133">
        <f t="shared" si="24"/>
        <v>4.6399999999999997E-2</v>
      </c>
      <c r="AU22" s="132">
        <f t="shared" si="25"/>
        <v>4.4656719384661274</v>
      </c>
      <c r="AV22" s="1">
        <f t="shared" si="26"/>
        <v>90</v>
      </c>
      <c r="AW22" s="133">
        <f t="shared" si="27"/>
        <v>95.272703992012026</v>
      </c>
    </row>
    <row r="23" spans="17:49" x14ac:dyDescent="0.25">
      <c r="Q23">
        <v>16</v>
      </c>
      <c r="R23" s="132">
        <f t="shared" si="0"/>
        <v>18</v>
      </c>
      <c r="S23" s="1">
        <f t="shared" si="1"/>
        <v>5</v>
      </c>
      <c r="T23" s="1">
        <f t="shared" si="2"/>
        <v>11.606666666666667</v>
      </c>
      <c r="U23" s="133">
        <f t="shared" si="11"/>
        <v>7.7541642734060883</v>
      </c>
      <c r="V23" s="132">
        <f>IF(Calculations!$B$17=3,2,IF((S23*R23/T23)&lt;((T23*(1-(T23/R23)))/(2*Lm*fsw)),1,2))</f>
        <v>2</v>
      </c>
      <c r="W23" s="1">
        <f t="shared" si="12"/>
        <v>0.35518518518518516</v>
      </c>
      <c r="X23" s="133">
        <f t="shared" si="3"/>
        <v>0.64481481481481484</v>
      </c>
      <c r="Y23" s="132">
        <f t="shared" si="4"/>
        <v>1.6490064197530863</v>
      </c>
      <c r="Z23" s="1">
        <f t="shared" si="13"/>
        <v>8.5786674832826311</v>
      </c>
      <c r="AA23" s="1">
        <f t="shared" si="14"/>
        <v>7.7687621553672424</v>
      </c>
      <c r="AB23" s="1">
        <v>0</v>
      </c>
      <c r="AC23" s="1">
        <f t="shared" si="15"/>
        <v>0.99583547953999374</v>
      </c>
      <c r="AD23" s="133">
        <f t="shared" si="16"/>
        <v>0.99583547953999374</v>
      </c>
      <c r="AE23" s="132">
        <f t="shared" si="28"/>
        <v>2.7541642734060883</v>
      </c>
      <c r="AF23" s="1">
        <f t="shared" si="17"/>
        <v>4.6299814072170058</v>
      </c>
      <c r="AG23" s="1">
        <f t="shared" si="5"/>
        <v>0.42873455662350329</v>
      </c>
      <c r="AH23" s="1">
        <f t="shared" si="18"/>
        <v>0.44259389179456343</v>
      </c>
      <c r="AI23" s="133">
        <f t="shared" si="19"/>
        <v>0.87132844841806678</v>
      </c>
      <c r="AJ23" s="132">
        <f t="shared" si="20"/>
        <v>5</v>
      </c>
      <c r="AK23" s="1">
        <f t="shared" si="21"/>
        <v>6.2383441389114713</v>
      </c>
      <c r="AL23" s="1">
        <f t="shared" si="6"/>
        <v>0.77833875190982216</v>
      </c>
      <c r="AM23" s="1">
        <f t="shared" si="22"/>
        <v>0.15427500000000002</v>
      </c>
      <c r="AN23" s="136">
        <f t="shared" si="29"/>
        <v>0.12010134476595684</v>
      </c>
      <c r="AO23" s="133">
        <f t="shared" si="23"/>
        <v>1.052715096675779</v>
      </c>
      <c r="AP23" s="132">
        <f t="shared" si="7"/>
        <v>0.3953165085446641</v>
      </c>
      <c r="AQ23" s="137">
        <f t="shared" si="8"/>
        <v>0.99583547953999374</v>
      </c>
      <c r="AR23" s="137">
        <f t="shared" si="9"/>
        <v>4.4461435616323999E-2</v>
      </c>
      <c r="AS23" s="1">
        <f t="shared" si="10"/>
        <v>5.9279999999999999E-2</v>
      </c>
      <c r="AT23" s="133">
        <f t="shared" si="24"/>
        <v>4.6426666666666672E-2</v>
      </c>
      <c r="AU23" s="132">
        <f t="shared" si="25"/>
        <v>4.4611991150014889</v>
      </c>
      <c r="AV23" s="1">
        <f t="shared" si="26"/>
        <v>90</v>
      </c>
      <c r="AW23" s="133">
        <f t="shared" si="27"/>
        <v>95.277215240968701</v>
      </c>
    </row>
    <row r="24" spans="17:49" x14ac:dyDescent="0.25">
      <c r="Q24">
        <v>17</v>
      </c>
      <c r="R24" s="132">
        <f t="shared" si="0"/>
        <v>18</v>
      </c>
      <c r="S24" s="1">
        <f t="shared" si="1"/>
        <v>5</v>
      </c>
      <c r="T24" s="1">
        <f t="shared" si="2"/>
        <v>11.613333333333333</v>
      </c>
      <c r="U24" s="133">
        <f t="shared" si="11"/>
        <v>7.7497129735935708</v>
      </c>
      <c r="V24" s="132">
        <f>IF(Calculations!$B$17=3,2,IF((S24*R24/T24)&lt;((T24*(1-(T24/R24)))/(2*Lm*fsw)),1,2))</f>
        <v>2</v>
      </c>
      <c r="W24" s="1">
        <f t="shared" si="12"/>
        <v>0.35481481481481481</v>
      </c>
      <c r="X24" s="133">
        <f t="shared" si="3"/>
        <v>0.64518518518518519</v>
      </c>
      <c r="Y24" s="132">
        <f t="shared" si="4"/>
        <v>1.648233086419753</v>
      </c>
      <c r="Z24" s="1">
        <f t="shared" si="13"/>
        <v>8.573829516803448</v>
      </c>
      <c r="AA24" s="1">
        <f t="shared" si="14"/>
        <v>7.7643055408719741</v>
      </c>
      <c r="AB24" s="1">
        <v>0</v>
      </c>
      <c r="AC24" s="1">
        <f t="shared" si="15"/>
        <v>0.99469326877825148</v>
      </c>
      <c r="AD24" s="133">
        <f t="shared" si="16"/>
        <v>0.99469326877825148</v>
      </c>
      <c r="AE24" s="132">
        <f t="shared" si="28"/>
        <v>2.7497129735935708</v>
      </c>
      <c r="AF24" s="1">
        <f t="shared" si="17"/>
        <v>4.6249121725262743</v>
      </c>
      <c r="AG24" s="1">
        <f t="shared" si="5"/>
        <v>0.42779625207163408</v>
      </c>
      <c r="AH24" s="1">
        <f t="shared" si="18"/>
        <v>0.44233981952602464</v>
      </c>
      <c r="AI24" s="133">
        <f t="shared" si="19"/>
        <v>0.87013607159765871</v>
      </c>
      <c r="AJ24" s="132">
        <f t="shared" si="20"/>
        <v>5</v>
      </c>
      <c r="AK24" s="1">
        <f t="shared" si="21"/>
        <v>6.2365557744987363</v>
      </c>
      <c r="AL24" s="1">
        <f t="shared" si="6"/>
        <v>0.77789255856867079</v>
      </c>
      <c r="AM24" s="1">
        <f t="shared" si="22"/>
        <v>0.15427500000000002</v>
      </c>
      <c r="AN24" s="136">
        <f t="shared" si="29"/>
        <v>0.12003361323524828</v>
      </c>
      <c r="AO24" s="133">
        <f t="shared" si="23"/>
        <v>1.052201171803919</v>
      </c>
      <c r="AP24" s="132">
        <f t="shared" si="7"/>
        <v>0.39486308548469978</v>
      </c>
      <c r="AQ24" s="137">
        <f t="shared" si="8"/>
        <v>0.99469326877825148</v>
      </c>
      <c r="AR24" s="137">
        <f t="shared" si="9"/>
        <v>4.4413409492891021E-2</v>
      </c>
      <c r="AS24" s="1">
        <f t="shared" si="10"/>
        <v>5.9279999999999999E-2</v>
      </c>
      <c r="AT24" s="133">
        <f t="shared" si="24"/>
        <v>4.6453333333333333E-2</v>
      </c>
      <c r="AU24" s="132">
        <f t="shared" si="25"/>
        <v>4.4567336092690049</v>
      </c>
      <c r="AV24" s="1">
        <f t="shared" si="26"/>
        <v>90</v>
      </c>
      <c r="AW24" s="133">
        <f t="shared" si="27"/>
        <v>95.281719535523223</v>
      </c>
    </row>
    <row r="25" spans="17:49" x14ac:dyDescent="0.25">
      <c r="Q25">
        <v>18</v>
      </c>
      <c r="R25" s="132">
        <f t="shared" si="0"/>
        <v>18</v>
      </c>
      <c r="S25" s="1">
        <f t="shared" si="1"/>
        <v>5</v>
      </c>
      <c r="T25" s="1">
        <f t="shared" si="2"/>
        <v>11.62</v>
      </c>
      <c r="U25" s="133">
        <f t="shared" si="11"/>
        <v>7.7452667814113605</v>
      </c>
      <c r="V25" s="132">
        <f>IF(Calculations!$B$17=3,2,IF((S25*R25/T25)&lt;((T25*(1-(T25/R25)))/(2*Lm*fsw)),1,2))</f>
        <v>2</v>
      </c>
      <c r="W25" s="1">
        <f t="shared" si="12"/>
        <v>0.35444444444444445</v>
      </c>
      <c r="X25" s="133">
        <f t="shared" si="3"/>
        <v>0.64555555555555555</v>
      </c>
      <c r="Y25" s="132">
        <f t="shared" si="4"/>
        <v>1.6474577777777779</v>
      </c>
      <c r="Z25" s="1">
        <f t="shared" si="13"/>
        <v>8.5689956703002501</v>
      </c>
      <c r="AA25" s="1">
        <f t="shared" si="14"/>
        <v>7.759853989779554</v>
      </c>
      <c r="AB25" s="1">
        <v>0</v>
      </c>
      <c r="AC25" s="1">
        <f t="shared" si="15"/>
        <v>0.99355301005451147</v>
      </c>
      <c r="AD25" s="133">
        <f t="shared" si="16"/>
        <v>0.99355301005451147</v>
      </c>
      <c r="AE25" s="132">
        <f t="shared" si="28"/>
        <v>2.74526678141136</v>
      </c>
      <c r="AF25" s="1">
        <f t="shared" si="17"/>
        <v>4.6198474635377496</v>
      </c>
      <c r="AG25" s="1">
        <f t="shared" si="5"/>
        <v>0.42685981172712362</v>
      </c>
      <c r="AH25" s="1">
        <f t="shared" si="18"/>
        <v>0.44208603879193065</v>
      </c>
      <c r="AI25" s="133">
        <f t="shared" si="19"/>
        <v>0.86894585051905426</v>
      </c>
      <c r="AJ25" s="132">
        <f t="shared" si="20"/>
        <v>5.0000000000000009</v>
      </c>
      <c r="AK25" s="1">
        <f t="shared" si="21"/>
        <v>6.2347689096181824</v>
      </c>
      <c r="AL25" s="1">
        <f t="shared" si="6"/>
        <v>0.77744686712683009</v>
      </c>
      <c r="AM25" s="1">
        <f t="shared" si="22"/>
        <v>0.15427500000000002</v>
      </c>
      <c r="AN25" s="136">
        <f t="shared" si="29"/>
        <v>0.11996593938420351</v>
      </c>
      <c r="AO25" s="133">
        <f t="shared" si="23"/>
        <v>1.0516878065110336</v>
      </c>
      <c r="AP25" s="132">
        <f t="shared" si="7"/>
        <v>0.39441043732466963</v>
      </c>
      <c r="AQ25" s="137">
        <f t="shared" si="8"/>
        <v>0.99355301005451147</v>
      </c>
      <c r="AR25" s="137">
        <f t="shared" si="9"/>
        <v>4.4365290184498932E-2</v>
      </c>
      <c r="AS25" s="1">
        <f t="shared" si="10"/>
        <v>5.9279999999999999E-2</v>
      </c>
      <c r="AT25" s="133">
        <f t="shared" si="24"/>
        <v>4.648E-2</v>
      </c>
      <c r="AU25" s="132">
        <f t="shared" si="25"/>
        <v>4.4522754046482786</v>
      </c>
      <c r="AV25" s="1">
        <f t="shared" si="26"/>
        <v>90</v>
      </c>
      <c r="AW25" s="133">
        <f t="shared" si="27"/>
        <v>95.286216890409435</v>
      </c>
    </row>
    <row r="26" spans="17:49" x14ac:dyDescent="0.25">
      <c r="Q26">
        <v>19</v>
      </c>
      <c r="R26" s="132">
        <f t="shared" si="0"/>
        <v>18</v>
      </c>
      <c r="S26" s="1">
        <f t="shared" si="1"/>
        <v>5</v>
      </c>
      <c r="T26" s="1">
        <f t="shared" si="2"/>
        <v>11.626666666666667</v>
      </c>
      <c r="U26" s="133">
        <f t="shared" si="11"/>
        <v>7.7408256880733939</v>
      </c>
      <c r="V26" s="132">
        <f>IF(Calculations!$B$17=3,2,IF((S26*R26/T26)&lt;((T26*(1-(T26/R26)))/(2*Lm*fsw)),1,2))</f>
        <v>2</v>
      </c>
      <c r="W26" s="1">
        <f t="shared" si="12"/>
        <v>0.3540740740740741</v>
      </c>
      <c r="X26" s="133">
        <f t="shared" si="3"/>
        <v>0.6459259259259259</v>
      </c>
      <c r="Y26" s="132">
        <f t="shared" si="4"/>
        <v>1.6466804938271609</v>
      </c>
      <c r="Z26" s="1">
        <f t="shared" si="13"/>
        <v>8.5641659349869741</v>
      </c>
      <c r="AA26" s="1">
        <f t="shared" si="14"/>
        <v>7.7554074933042374</v>
      </c>
      <c r="AB26" s="1">
        <v>0</v>
      </c>
      <c r="AC26" s="1">
        <f t="shared" si="15"/>
        <v>0.99241469888879208</v>
      </c>
      <c r="AD26" s="133">
        <f t="shared" si="16"/>
        <v>0.99241469888879208</v>
      </c>
      <c r="AE26" s="132">
        <f t="shared" si="28"/>
        <v>2.7408256880733943</v>
      </c>
      <c r="AF26" s="1">
        <f t="shared" si="17"/>
        <v>4.6147872704938546</v>
      </c>
      <c r="AG26" s="1">
        <f t="shared" si="5"/>
        <v>0.42592523103824242</v>
      </c>
      <c r="AH26" s="1">
        <f t="shared" si="18"/>
        <v>0.44183254909078828</v>
      </c>
      <c r="AI26" s="133">
        <f t="shared" si="19"/>
        <v>0.86775778012903071</v>
      </c>
      <c r="AJ26" s="132">
        <f t="shared" si="20"/>
        <v>4.9999999999999991</v>
      </c>
      <c r="AK26" s="1">
        <f t="shared" si="21"/>
        <v>6.2329835420356581</v>
      </c>
      <c r="AL26" s="1">
        <f t="shared" si="6"/>
        <v>0.7770016767057476</v>
      </c>
      <c r="AM26" s="1">
        <f t="shared" si="22"/>
        <v>0.15427500000000002</v>
      </c>
      <c r="AN26" s="136">
        <f t="shared" si="29"/>
        <v>0.11989832308981764</v>
      </c>
      <c r="AO26" s="133">
        <f t="shared" si="23"/>
        <v>1.0511749997955653</v>
      </c>
      <c r="AP26" s="132">
        <f t="shared" si="7"/>
        <v>0.39395856228615678</v>
      </c>
      <c r="AQ26" s="137">
        <f t="shared" si="8"/>
        <v>0.99241469888879208</v>
      </c>
      <c r="AR26" s="137">
        <f t="shared" si="9"/>
        <v>4.4317077912575699E-2</v>
      </c>
      <c r="AS26" s="1">
        <f t="shared" si="10"/>
        <v>5.9279999999999999E-2</v>
      </c>
      <c r="AT26" s="133">
        <f t="shared" si="24"/>
        <v>4.6506666666666668E-2</v>
      </c>
      <c r="AU26" s="132">
        <f t="shared" si="25"/>
        <v>4.4478244845675796</v>
      </c>
      <c r="AV26" s="1">
        <f t="shared" si="26"/>
        <v>90</v>
      </c>
      <c r="AW26" s="133">
        <f t="shared" si="27"/>
        <v>95.290707320321246</v>
      </c>
    </row>
    <row r="27" spans="17:49" x14ac:dyDescent="0.25">
      <c r="Q27">
        <v>20</v>
      </c>
      <c r="R27" s="132">
        <f t="shared" si="0"/>
        <v>18</v>
      </c>
      <c r="S27" s="1">
        <f t="shared" si="1"/>
        <v>5</v>
      </c>
      <c r="T27" s="1">
        <f t="shared" si="2"/>
        <v>11.633333333333333</v>
      </c>
      <c r="U27" s="133">
        <f t="shared" si="11"/>
        <v>7.7363896848137541</v>
      </c>
      <c r="V27" s="132">
        <f>IF(Calculations!$B$17=3,2,IF((S27*R27/T27)&lt;((T27*(1-(T27/R27)))/(2*Lm*fsw)),1,2))</f>
        <v>2</v>
      </c>
      <c r="W27" s="1">
        <f t="shared" si="12"/>
        <v>0.35370370370370374</v>
      </c>
      <c r="X27" s="133">
        <f t="shared" si="3"/>
        <v>0.64629629629629626</v>
      </c>
      <c r="Y27" s="132">
        <f t="shared" si="4"/>
        <v>1.6459012345679014</v>
      </c>
      <c r="Z27" s="1">
        <f t="shared" si="13"/>
        <v>8.5593403020977057</v>
      </c>
      <c r="AA27" s="1">
        <f t="shared" si="14"/>
        <v>7.7509660426806581</v>
      </c>
      <c r="AB27" s="1">
        <v>0</v>
      </c>
      <c r="AC27" s="1">
        <f t="shared" si="15"/>
        <v>0.99127833081401295</v>
      </c>
      <c r="AD27" s="133">
        <f t="shared" si="16"/>
        <v>0.99127833081401295</v>
      </c>
      <c r="AE27" s="132">
        <f t="shared" si="28"/>
        <v>2.7363896848137541</v>
      </c>
      <c r="AF27" s="1">
        <f t="shared" si="17"/>
        <v>4.6097315836545105</v>
      </c>
      <c r="AG27" s="1">
        <f t="shared" si="5"/>
        <v>0.42499250546683848</v>
      </c>
      <c r="AH27" s="1">
        <f t="shared" si="18"/>
        <v>0.441579349922255</v>
      </c>
      <c r="AI27" s="133">
        <f t="shared" si="19"/>
        <v>0.86657185538909354</v>
      </c>
      <c r="AJ27" s="132">
        <f t="shared" si="20"/>
        <v>5</v>
      </c>
      <c r="AK27" s="1">
        <f t="shared" si="21"/>
        <v>6.2311996695216525</v>
      </c>
      <c r="AL27" s="1">
        <f t="shared" si="6"/>
        <v>0.776556986428935</v>
      </c>
      <c r="AM27" s="1">
        <f t="shared" si="22"/>
        <v>0.15427500000000002</v>
      </c>
      <c r="AN27" s="136">
        <f t="shared" si="29"/>
        <v>0.11983076422936788</v>
      </c>
      <c r="AO27" s="133">
        <f t="shared" si="23"/>
        <v>1.0506627506583028</v>
      </c>
      <c r="AP27" s="132">
        <f t="shared" si="7"/>
        <v>0.39350745859586572</v>
      </c>
      <c r="AQ27" s="137">
        <f t="shared" si="8"/>
        <v>0.99127833081401295</v>
      </c>
      <c r="AR27" s="137">
        <f t="shared" si="9"/>
        <v>4.4268772899058229E-2</v>
      </c>
      <c r="AS27" s="1">
        <f t="shared" si="10"/>
        <v>5.9279999999999999E-2</v>
      </c>
      <c r="AT27" s="133">
        <f t="shared" si="24"/>
        <v>4.6533333333333329E-2</v>
      </c>
      <c r="AU27" s="132">
        <f t="shared" si="25"/>
        <v>4.4433808325036797</v>
      </c>
      <c r="AV27" s="1">
        <f t="shared" si="26"/>
        <v>90</v>
      </c>
      <c r="AW27" s="133">
        <f t="shared" si="27"/>
        <v>95.295190839912792</v>
      </c>
    </row>
    <row r="28" spans="17:49" x14ac:dyDescent="0.25">
      <c r="Q28">
        <v>21</v>
      </c>
      <c r="R28" s="132">
        <f t="shared" si="0"/>
        <v>18</v>
      </c>
      <c r="S28" s="1">
        <f t="shared" si="1"/>
        <v>5</v>
      </c>
      <c r="T28" s="1">
        <f t="shared" si="2"/>
        <v>11.64</v>
      </c>
      <c r="U28" s="133">
        <f t="shared" si="11"/>
        <v>7.731958762886598</v>
      </c>
      <c r="V28" s="132">
        <f>IF(Calculations!$B$17=3,2,IF((S28*R28/T28)&lt;((T28*(1-(T28/R28)))/(2*Lm*fsw)),1,2))</f>
        <v>2</v>
      </c>
      <c r="W28" s="1">
        <f t="shared" si="12"/>
        <v>0.35333333333333328</v>
      </c>
      <c r="X28" s="133">
        <f t="shared" si="3"/>
        <v>0.64666666666666672</v>
      </c>
      <c r="Y28" s="132">
        <f t="shared" si="4"/>
        <v>1.6451199999999997</v>
      </c>
      <c r="Z28" s="1">
        <f t="shared" si="13"/>
        <v>8.5545187628865982</v>
      </c>
      <c r="AA28" s="1">
        <f t="shared" si="14"/>
        <v>7.7465296291637706</v>
      </c>
      <c r="AB28" s="1">
        <v>0</v>
      </c>
      <c r="AC28" s="1">
        <f t="shared" si="15"/>
        <v>0.99014390137595121</v>
      </c>
      <c r="AD28" s="133">
        <f t="shared" si="16"/>
        <v>0.99014390137595121</v>
      </c>
      <c r="AE28" s="132">
        <f t="shared" si="28"/>
        <v>2.7319587628865976</v>
      </c>
      <c r="AF28" s="1">
        <f t="shared" si="17"/>
        <v>4.6046803932970528</v>
      </c>
      <c r="AG28" s="1">
        <f t="shared" si="5"/>
        <v>0.42406163048828605</v>
      </c>
      <c r="AH28" s="1">
        <f t="shared" si="18"/>
        <v>0.44132644078713346</v>
      </c>
      <c r="AI28" s="133">
        <f t="shared" si="19"/>
        <v>0.8653880712754195</v>
      </c>
      <c r="AJ28" s="132">
        <f t="shared" si="20"/>
        <v>5.0000000000000009</v>
      </c>
      <c r="AK28" s="1">
        <f t="shared" si="21"/>
        <v>6.2294172898512654</v>
      </c>
      <c r="AL28" s="1">
        <f t="shared" si="6"/>
        <v>0.77611279542195777</v>
      </c>
      <c r="AM28" s="1">
        <f t="shared" si="22"/>
        <v>0.15427500000000002</v>
      </c>
      <c r="AN28" s="136">
        <f t="shared" si="29"/>
        <v>0.11976326268041237</v>
      </c>
      <c r="AO28" s="133">
        <f t="shared" si="23"/>
        <v>1.0501510581023701</v>
      </c>
      <c r="AP28" s="132">
        <f t="shared" si="7"/>
        <v>0.39305712448560481</v>
      </c>
      <c r="AQ28" s="137">
        <f t="shared" si="8"/>
        <v>0.99014390137595121</v>
      </c>
      <c r="AR28" s="137">
        <f t="shared" si="9"/>
        <v>4.422037536639141E-2</v>
      </c>
      <c r="AS28" s="1">
        <f t="shared" si="10"/>
        <v>5.9279999999999999E-2</v>
      </c>
      <c r="AT28" s="133">
        <f t="shared" si="24"/>
        <v>4.6560000000000004E-2</v>
      </c>
      <c r="AU28" s="132">
        <f t="shared" si="25"/>
        <v>4.438944431981688</v>
      </c>
      <c r="AV28" s="1">
        <f t="shared" si="26"/>
        <v>90</v>
      </c>
      <c r="AW28" s="133">
        <f t="shared" si="27"/>
        <v>95.299667463798514</v>
      </c>
    </row>
    <row r="29" spans="17:49" x14ac:dyDescent="0.25">
      <c r="Q29">
        <v>22</v>
      </c>
      <c r="R29" s="132">
        <f t="shared" si="0"/>
        <v>18</v>
      </c>
      <c r="S29" s="1">
        <f t="shared" si="1"/>
        <v>5</v>
      </c>
      <c r="T29" s="1">
        <f t="shared" si="2"/>
        <v>11.646666666666667</v>
      </c>
      <c r="U29" s="133">
        <f t="shared" si="11"/>
        <v>7.7275329135661135</v>
      </c>
      <c r="V29" s="132">
        <f>IF(Calculations!$B$17=3,2,IF((S29*R29/T29)&lt;((T29*(1-(T29/R29)))/(2*Lm*fsw)),1,2))</f>
        <v>2</v>
      </c>
      <c r="W29" s="1">
        <f t="shared" si="12"/>
        <v>0.35296296296296292</v>
      </c>
      <c r="X29" s="133">
        <f t="shared" si="3"/>
        <v>0.64703703703703708</v>
      </c>
      <c r="Y29" s="132">
        <f t="shared" si="4"/>
        <v>1.6443367901234567</v>
      </c>
      <c r="Z29" s="1">
        <f t="shared" si="13"/>
        <v>8.5497013086278422</v>
      </c>
      <c r="AA29" s="1">
        <f t="shared" si="14"/>
        <v>7.7420982440287931</v>
      </c>
      <c r="AB29" s="1">
        <v>0</v>
      </c>
      <c r="AC29" s="1">
        <f t="shared" si="15"/>
        <v>0.98901140613319649</v>
      </c>
      <c r="AD29" s="133">
        <f t="shared" si="16"/>
        <v>0.98901140613319649</v>
      </c>
      <c r="AE29" s="132">
        <f t="shared" si="28"/>
        <v>2.727532913566113</v>
      </c>
      <c r="AF29" s="1">
        <f t="shared" si="17"/>
        <v>4.5996336897161791</v>
      </c>
      <c r="AG29" s="1">
        <f t="shared" si="5"/>
        <v>0.42313260159144145</v>
      </c>
      <c r="AH29" s="1">
        <f t="shared" si="18"/>
        <v>0.44107382118736965</v>
      </c>
      <c r="AI29" s="133">
        <f t="shared" si="19"/>
        <v>0.8642064227788111</v>
      </c>
      <c r="AJ29" s="132">
        <f t="shared" si="20"/>
        <v>5</v>
      </c>
      <c r="AK29" s="1">
        <f t="shared" si="21"/>
        <v>6.2276364008042124</v>
      </c>
      <c r="AL29" s="1">
        <f t="shared" si="6"/>
        <v>0.77566910281243295</v>
      </c>
      <c r="AM29" s="1">
        <f t="shared" si="22"/>
        <v>0.15427500000000002</v>
      </c>
      <c r="AN29" s="136">
        <f t="shared" si="29"/>
        <v>0.11969581832078979</v>
      </c>
      <c r="AO29" s="133">
        <f t="shared" si="23"/>
        <v>1.0496399211332228</v>
      </c>
      <c r="AP29" s="132">
        <f t="shared" si="7"/>
        <v>0.39260755819226884</v>
      </c>
      <c r="AQ29" s="137">
        <f t="shared" si="8"/>
        <v>0.98901140613319649</v>
      </c>
      <c r="AR29" s="137">
        <f t="shared" si="9"/>
        <v>4.4171885537528273E-2</v>
      </c>
      <c r="AS29" s="1">
        <f t="shared" si="10"/>
        <v>5.9279999999999999E-2</v>
      </c>
      <c r="AT29" s="133">
        <f t="shared" si="24"/>
        <v>4.6586666666666665E-2</v>
      </c>
      <c r="AU29" s="132">
        <f t="shared" si="25"/>
        <v>4.4345152665748904</v>
      </c>
      <c r="AV29" s="1">
        <f t="shared" si="26"/>
        <v>90</v>
      </c>
      <c r="AW29" s="133">
        <f t="shared" si="27"/>
        <v>95.304137206553236</v>
      </c>
    </row>
    <row r="30" spans="17:49" x14ac:dyDescent="0.25">
      <c r="Q30">
        <v>23</v>
      </c>
      <c r="R30" s="132">
        <f t="shared" si="0"/>
        <v>18</v>
      </c>
      <c r="S30" s="1">
        <f t="shared" si="1"/>
        <v>5</v>
      </c>
      <c r="T30" s="1">
        <f t="shared" si="2"/>
        <v>11.653333333333334</v>
      </c>
      <c r="U30" s="133">
        <f t="shared" si="11"/>
        <v>7.7231121281464521</v>
      </c>
      <c r="V30" s="132">
        <f>IF(Calculations!$B$17=3,2,IF((S30*R30/T30)&lt;((T30*(1-(T30/R30)))/(2*Lm*fsw)),1,2))</f>
        <v>2</v>
      </c>
      <c r="W30" s="1">
        <f t="shared" si="12"/>
        <v>0.35259259259259257</v>
      </c>
      <c r="X30" s="133">
        <f t="shared" si="3"/>
        <v>0.64740740740740743</v>
      </c>
      <c r="Y30" s="132">
        <f t="shared" si="4"/>
        <v>1.6435516049382717</v>
      </c>
      <c r="Z30" s="1">
        <f t="shared" si="13"/>
        <v>8.5448879306155874</v>
      </c>
      <c r="AA30" s="1">
        <f t="shared" si="14"/>
        <v>7.7376718785711471</v>
      </c>
      <c r="AB30" s="1">
        <v>0</v>
      </c>
      <c r="AC30" s="1">
        <f t="shared" si="15"/>
        <v>0.98788084065710735</v>
      </c>
      <c r="AD30" s="133">
        <f t="shared" si="16"/>
        <v>0.98788084065710735</v>
      </c>
      <c r="AE30" s="132">
        <f t="shared" si="28"/>
        <v>2.7231121281464525</v>
      </c>
      <c r="AF30" s="1">
        <f t="shared" si="17"/>
        <v>4.5945914632238685</v>
      </c>
      <c r="AG30" s="1">
        <f t="shared" si="5"/>
        <v>0.42220541427859298</v>
      </c>
      <c r="AH30" s="1">
        <f t="shared" si="18"/>
        <v>0.44082149062604969</v>
      </c>
      <c r="AI30" s="133">
        <f t="shared" si="19"/>
        <v>0.86302690490464262</v>
      </c>
      <c r="AJ30" s="132">
        <f t="shared" si="20"/>
        <v>4.9999999999999991</v>
      </c>
      <c r="AK30" s="1">
        <f t="shared" si="21"/>
        <v>6.2258570001648037</v>
      </c>
      <c r="AL30" s="1">
        <f t="shared" si="6"/>
        <v>0.77522590773002176</v>
      </c>
      <c r="AM30" s="1">
        <f t="shared" si="22"/>
        <v>0.15427500000000002</v>
      </c>
      <c r="AN30" s="136">
        <f t="shared" si="29"/>
        <v>0.11962843102861823</v>
      </c>
      <c r="AO30" s="133">
        <f t="shared" si="23"/>
        <v>1.04912933875864</v>
      </c>
      <c r="AP30" s="132">
        <f t="shared" si="7"/>
        <v>0.39215875795782135</v>
      </c>
      <c r="AQ30" s="137">
        <f t="shared" si="8"/>
        <v>0.98788084065710735</v>
      </c>
      <c r="AR30" s="137">
        <f t="shared" si="9"/>
        <v>4.4123303635929097E-2</v>
      </c>
      <c r="AS30" s="1">
        <f t="shared" si="10"/>
        <v>5.9279999999999999E-2</v>
      </c>
      <c r="AT30" s="133">
        <f t="shared" si="24"/>
        <v>4.661333333333334E-2</v>
      </c>
      <c r="AU30" s="132">
        <f t="shared" si="25"/>
        <v>4.4300933199045804</v>
      </c>
      <c r="AV30" s="1">
        <f t="shared" si="26"/>
        <v>90</v>
      </c>
      <c r="AW30" s="133">
        <f t="shared" si="27"/>
        <v>95.308600082712431</v>
      </c>
    </row>
    <row r="31" spans="17:49" x14ac:dyDescent="0.25">
      <c r="Q31">
        <v>24</v>
      </c>
      <c r="R31" s="132">
        <f t="shared" si="0"/>
        <v>18</v>
      </c>
      <c r="S31" s="1">
        <f t="shared" si="1"/>
        <v>5</v>
      </c>
      <c r="T31" s="1">
        <f t="shared" si="2"/>
        <v>11.66</v>
      </c>
      <c r="U31" s="133">
        <f t="shared" si="11"/>
        <v>7.7186963979416809</v>
      </c>
      <c r="V31" s="132">
        <f>IF(Calculations!$B$17=3,2,IF((S31*R31/T31)&lt;((T31*(1-(T31/R31)))/(2*Lm*fsw)),1,2))</f>
        <v>2</v>
      </c>
      <c r="W31" s="1">
        <f t="shared" si="12"/>
        <v>0.35222222222222221</v>
      </c>
      <c r="X31" s="133">
        <f t="shared" si="3"/>
        <v>0.64777777777777779</v>
      </c>
      <c r="Y31" s="132">
        <f t="shared" si="4"/>
        <v>1.6427644444444442</v>
      </c>
      <c r="Z31" s="1">
        <f t="shared" si="13"/>
        <v>8.5400786201639036</v>
      </c>
      <c r="AA31" s="1">
        <f t="shared" si="14"/>
        <v>7.7332505241064133</v>
      </c>
      <c r="AB31" s="1">
        <v>0</v>
      </c>
      <c r="AC31" s="1">
        <f t="shared" si="15"/>
        <v>0.98675220053177004</v>
      </c>
      <c r="AD31" s="133">
        <f t="shared" si="16"/>
        <v>0.98675220053177004</v>
      </c>
      <c r="AE31" s="132">
        <f t="shared" si="28"/>
        <v>2.7186963979416809</v>
      </c>
      <c r="AF31" s="1">
        <f t="shared" si="17"/>
        <v>4.5895537041493242</v>
      </c>
      <c r="AG31" s="1">
        <f t="shared" si="5"/>
        <v>0.42128006406541568</v>
      </c>
      <c r="AH31" s="1">
        <f t="shared" si="18"/>
        <v>0.44056944860739566</v>
      </c>
      <c r="AI31" s="133">
        <f t="shared" si="19"/>
        <v>0.8618495126728114</v>
      </c>
      <c r="AJ31" s="132">
        <f t="shared" si="20"/>
        <v>5</v>
      </c>
      <c r="AK31" s="1">
        <f t="shared" si="21"/>
        <v>6.2240790857219466</v>
      </c>
      <c r="AL31" s="1">
        <f t="shared" si="6"/>
        <v>0.77478320930642686</v>
      </c>
      <c r="AM31" s="1">
        <f t="shared" si="22"/>
        <v>0.15427500000000002</v>
      </c>
      <c r="AN31" s="136">
        <f t="shared" si="29"/>
        <v>0.11956110068229465</v>
      </c>
      <c r="AO31" s="133">
        <f t="shared" si="23"/>
        <v>1.0486193099887215</v>
      </c>
      <c r="AP31" s="132">
        <f t="shared" si="7"/>
        <v>0.39171072202927837</v>
      </c>
      <c r="AQ31" s="137">
        <f t="shared" si="8"/>
        <v>0.98675220053177004</v>
      </c>
      <c r="AR31" s="137">
        <f t="shared" si="9"/>
        <v>4.4074629885561031E-2</v>
      </c>
      <c r="AS31" s="1">
        <f t="shared" si="10"/>
        <v>5.9279999999999999E-2</v>
      </c>
      <c r="AT31" s="133">
        <f t="shared" si="24"/>
        <v>4.6640000000000001E-2</v>
      </c>
      <c r="AU31" s="132">
        <f t="shared" si="25"/>
        <v>4.4256785756399122</v>
      </c>
      <c r="AV31" s="1">
        <f t="shared" si="26"/>
        <v>90</v>
      </c>
      <c r="AW31" s="133">
        <f t="shared" si="27"/>
        <v>95.313056106772152</v>
      </c>
    </row>
    <row r="32" spans="17:49" x14ac:dyDescent="0.25">
      <c r="Q32">
        <v>25</v>
      </c>
      <c r="R32" s="132">
        <f t="shared" si="0"/>
        <v>18</v>
      </c>
      <c r="S32" s="1">
        <f t="shared" si="1"/>
        <v>5</v>
      </c>
      <c r="T32" s="1">
        <f t="shared" si="2"/>
        <v>11.666666666666666</v>
      </c>
      <c r="U32" s="133">
        <f t="shared" si="11"/>
        <v>7.7142857142857144</v>
      </c>
      <c r="V32" s="132">
        <f>IF(Calculations!$B$17=3,2,IF((S32*R32/T32)&lt;((T32*(1-(T32/R32)))/(2*Lm*fsw)),1,2))</f>
        <v>2</v>
      </c>
      <c r="W32" s="1">
        <f t="shared" si="12"/>
        <v>0.35185185185185186</v>
      </c>
      <c r="X32" s="133">
        <f t="shared" si="3"/>
        <v>0.64814814814814814</v>
      </c>
      <c r="Y32" s="132">
        <f t="shared" si="4"/>
        <v>1.6419753086419753</v>
      </c>
      <c r="Z32" s="1">
        <f t="shared" si="13"/>
        <v>8.5352733686067026</v>
      </c>
      <c r="AA32" s="1">
        <f t="shared" si="14"/>
        <v>7.7288341719702558</v>
      </c>
      <c r="AB32" s="1">
        <v>0</v>
      </c>
      <c r="AC32" s="1">
        <f t="shared" si="15"/>
        <v>0.98562548135395001</v>
      </c>
      <c r="AD32" s="133">
        <f t="shared" si="16"/>
        <v>0.98562548135395001</v>
      </c>
      <c r="AE32" s="132">
        <f t="shared" si="28"/>
        <v>2.7142857142857144</v>
      </c>
      <c r="AF32" s="1">
        <f t="shared" si="17"/>
        <v>4.5845204028388924</v>
      </c>
      <c r="AG32" s="1">
        <f t="shared" si="5"/>
        <v>0.42035654648092163</v>
      </c>
      <c r="AH32" s="1">
        <f t="shared" si="18"/>
        <v>0.44031769463676285</v>
      </c>
      <c r="AI32" s="133">
        <f t="shared" si="19"/>
        <v>0.86067424111768442</v>
      </c>
      <c r="AJ32" s="132">
        <f t="shared" si="20"/>
        <v>5</v>
      </c>
      <c r="AK32" s="1">
        <f t="shared" si="21"/>
        <v>6.2223026552691154</v>
      </c>
      <c r="AL32" s="1">
        <f t="shared" si="6"/>
        <v>0.77434100667538175</v>
      </c>
      <c r="AM32" s="1">
        <f t="shared" si="22"/>
        <v>0.15427500000000002</v>
      </c>
      <c r="AN32" s="136">
        <f t="shared" si="29"/>
        <v>0.11949382716049384</v>
      </c>
      <c r="AO32" s="133">
        <f t="shared" si="23"/>
        <v>1.0481098338358756</v>
      </c>
      <c r="AP32" s="132">
        <f t="shared" si="7"/>
        <v>0.39126344865868917</v>
      </c>
      <c r="AQ32" s="137">
        <f t="shared" si="8"/>
        <v>0.98562548135395001</v>
      </c>
      <c r="AR32" s="137">
        <f t="shared" si="9"/>
        <v>4.4025864510897975E-2</v>
      </c>
      <c r="AS32" s="1">
        <f t="shared" si="10"/>
        <v>5.9279999999999999E-2</v>
      </c>
      <c r="AT32" s="133">
        <f t="shared" si="24"/>
        <v>4.6666666666666662E-2</v>
      </c>
      <c r="AU32" s="132">
        <f t="shared" si="25"/>
        <v>4.4212710174977143</v>
      </c>
      <c r="AV32" s="1">
        <f t="shared" si="26"/>
        <v>90</v>
      </c>
      <c r="AW32" s="133">
        <f t="shared" si="27"/>
        <v>95.317505293189299</v>
      </c>
    </row>
    <row r="33" spans="17:49" x14ac:dyDescent="0.25">
      <c r="Q33">
        <v>26</v>
      </c>
      <c r="R33" s="132">
        <f t="shared" si="0"/>
        <v>18</v>
      </c>
      <c r="S33" s="1">
        <f t="shared" si="1"/>
        <v>5</v>
      </c>
      <c r="T33" s="1">
        <f t="shared" si="2"/>
        <v>11.673333333333334</v>
      </c>
      <c r="U33" s="133">
        <f t="shared" si="11"/>
        <v>7.709880068532267</v>
      </c>
      <c r="V33" s="132">
        <f>IF(Calculations!$B$17=3,2,IF((S33*R33/T33)&lt;((T33*(1-(T33/R33)))/(2*Lm*fsw)),1,2))</f>
        <v>2</v>
      </c>
      <c r="W33" s="1">
        <f t="shared" si="12"/>
        <v>0.35148148148148151</v>
      </c>
      <c r="X33" s="133">
        <f t="shared" si="3"/>
        <v>0.64851851851851849</v>
      </c>
      <c r="Y33" s="132">
        <f t="shared" si="4"/>
        <v>1.6411841975308643</v>
      </c>
      <c r="Z33" s="1">
        <f t="shared" si="13"/>
        <v>8.5304721672976989</v>
      </c>
      <c r="AA33" s="1">
        <f t="shared" si="14"/>
        <v>7.7244228135183794</v>
      </c>
      <c r="AB33" s="1">
        <v>0</v>
      </c>
      <c r="AC33" s="1">
        <f t="shared" si="15"/>
        <v>0.9845006787330528</v>
      </c>
      <c r="AD33" s="133">
        <f t="shared" si="16"/>
        <v>0.9845006787330528</v>
      </c>
      <c r="AE33" s="132">
        <f t="shared" si="28"/>
        <v>2.7098800685322675</v>
      </c>
      <c r="AF33" s="1">
        <f t="shared" si="17"/>
        <v>4.5794915496560042</v>
      </c>
      <c r="AG33" s="1">
        <f t="shared" si="5"/>
        <v>0.41943485706741507</v>
      </c>
      <c r="AH33" s="1">
        <f t="shared" si="18"/>
        <v>0.44006622822063668</v>
      </c>
      <c r="AI33" s="133">
        <f t="shared" si="19"/>
        <v>0.8595010852880518</v>
      </c>
      <c r="AJ33" s="132">
        <f t="shared" si="20"/>
        <v>5</v>
      </c>
      <c r="AK33" s="1">
        <f t="shared" si="21"/>
        <v>6.2205277066043552</v>
      </c>
      <c r="AL33" s="1">
        <f t="shared" si="6"/>
        <v>0.77389929897264875</v>
      </c>
      <c r="AM33" s="1">
        <f t="shared" si="22"/>
        <v>0.15427500000000002</v>
      </c>
      <c r="AN33" s="136">
        <f t="shared" si="29"/>
        <v>0.11942661034216778</v>
      </c>
      <c r="AO33" s="133">
        <f t="shared" si="23"/>
        <v>1.0476009093148166</v>
      </c>
      <c r="AP33" s="132">
        <f t="shared" si="7"/>
        <v>0.3908169361031209</v>
      </c>
      <c r="AQ33" s="137">
        <f t="shared" si="8"/>
        <v>0.9845006787330528</v>
      </c>
      <c r="AR33" s="137">
        <f t="shared" si="9"/>
        <v>4.3977007736919524E-2</v>
      </c>
      <c r="AS33" s="1">
        <f t="shared" si="10"/>
        <v>5.9279999999999999E-2</v>
      </c>
      <c r="AT33" s="133">
        <f t="shared" si="24"/>
        <v>4.6693333333333337E-2</v>
      </c>
      <c r="AU33" s="132">
        <f t="shared" si="25"/>
        <v>4.4168706292423483</v>
      </c>
      <c r="AV33" s="1">
        <f t="shared" si="26"/>
        <v>90</v>
      </c>
      <c r="AW33" s="133">
        <f t="shared" si="27"/>
        <v>95.321947656381681</v>
      </c>
    </row>
    <row r="34" spans="17:49" x14ac:dyDescent="0.25">
      <c r="Q34">
        <v>27</v>
      </c>
      <c r="R34" s="132">
        <f t="shared" si="0"/>
        <v>18</v>
      </c>
      <c r="S34" s="1">
        <f t="shared" si="1"/>
        <v>5</v>
      </c>
      <c r="T34" s="1">
        <f t="shared" si="2"/>
        <v>11.68</v>
      </c>
      <c r="U34" s="133">
        <f t="shared" si="11"/>
        <v>7.7054794520547949</v>
      </c>
      <c r="V34" s="132">
        <f>IF(Calculations!$B$17=3,2,IF((S34*R34/T34)&lt;((T34*(1-(T34/R34)))/(2*Lm*fsw)),1,2))</f>
        <v>2</v>
      </c>
      <c r="W34" s="1">
        <f t="shared" si="12"/>
        <v>0.35111111111111115</v>
      </c>
      <c r="X34" s="133">
        <f t="shared" si="3"/>
        <v>0.64888888888888885</v>
      </c>
      <c r="Y34" s="132">
        <f t="shared" si="4"/>
        <v>1.6403911111111114</v>
      </c>
      <c r="Z34" s="1">
        <f t="shared" si="13"/>
        <v>8.5256750076103511</v>
      </c>
      <c r="AA34" s="1">
        <f t="shared" si="14"/>
        <v>7.7200164401264733</v>
      </c>
      <c r="AB34" s="1">
        <v>0</v>
      </c>
      <c r="AC34" s="1">
        <f t="shared" si="15"/>
        <v>0.98337778829107991</v>
      </c>
      <c r="AD34" s="133">
        <f t="shared" si="16"/>
        <v>0.98337778829107991</v>
      </c>
      <c r="AE34" s="132">
        <f t="shared" si="28"/>
        <v>2.7054794520547949</v>
      </c>
      <c r="AF34" s="1">
        <f t="shared" si="17"/>
        <v>4.5744671349811128</v>
      </c>
      <c r="AG34" s="1">
        <f t="shared" si="5"/>
        <v>0.41851499138044623</v>
      </c>
      <c r="AH34" s="1">
        <f t="shared" si="18"/>
        <v>0.43981504886662953</v>
      </c>
      <c r="AI34" s="133">
        <f t="shared" si="19"/>
        <v>0.85833004024707571</v>
      </c>
      <c r="AJ34" s="132">
        <f t="shared" si="20"/>
        <v>5</v>
      </c>
      <c r="AK34" s="1">
        <f t="shared" si="21"/>
        <v>6.2187542375302725</v>
      </c>
      <c r="AL34" s="1">
        <f t="shared" si="6"/>
        <v>0.77345808533601446</v>
      </c>
      <c r="AM34" s="1">
        <f t="shared" si="22"/>
        <v>0.15427500000000002</v>
      </c>
      <c r="AN34" s="136">
        <f t="shared" si="29"/>
        <v>0.11935945010654492</v>
      </c>
      <c r="AO34" s="133">
        <f t="shared" si="23"/>
        <v>1.0470925354425593</v>
      </c>
      <c r="AP34" s="132">
        <f t="shared" si="7"/>
        <v>0.39037118262464077</v>
      </c>
      <c r="AQ34" s="137">
        <f t="shared" si="8"/>
        <v>0.98337778829107991</v>
      </c>
      <c r="AR34" s="137">
        <f t="shared" si="9"/>
        <v>4.3928059789111143E-2</v>
      </c>
      <c r="AS34" s="1">
        <f t="shared" si="10"/>
        <v>5.9279999999999999E-2</v>
      </c>
      <c r="AT34" s="133">
        <f t="shared" si="24"/>
        <v>4.6719999999999998E-2</v>
      </c>
      <c r="AU34" s="132">
        <f t="shared" si="25"/>
        <v>4.4124773946855465</v>
      </c>
      <c r="AV34" s="1">
        <f t="shared" si="26"/>
        <v>90</v>
      </c>
      <c r="AW34" s="133">
        <f t="shared" si="27"/>
        <v>95.32638321072811</v>
      </c>
    </row>
    <row r="35" spans="17:49" x14ac:dyDescent="0.25">
      <c r="Q35">
        <v>28</v>
      </c>
      <c r="R35" s="132">
        <f t="shared" si="0"/>
        <v>18</v>
      </c>
      <c r="S35" s="1">
        <f t="shared" si="1"/>
        <v>5</v>
      </c>
      <c r="T35" s="1">
        <f t="shared" si="2"/>
        <v>11.686666666666667</v>
      </c>
      <c r="U35" s="133">
        <f t="shared" si="11"/>
        <v>7.7010838562464343</v>
      </c>
      <c r="V35" s="132">
        <f>IF(Calculations!$B$17=3,2,IF((S35*R35/T35)&lt;((T35*(1-(T35/R35)))/(2*Lm*fsw)),1,2))</f>
        <v>2</v>
      </c>
      <c r="W35" s="1">
        <f t="shared" si="12"/>
        <v>0.35074074074074069</v>
      </c>
      <c r="X35" s="133">
        <f t="shared" si="3"/>
        <v>0.64925925925925931</v>
      </c>
      <c r="Y35" s="132">
        <f t="shared" si="4"/>
        <v>1.6395960493827157</v>
      </c>
      <c r="Z35" s="1">
        <f t="shared" si="13"/>
        <v>8.5208818809377931</v>
      </c>
      <c r="AA35" s="1">
        <f t="shared" si="14"/>
        <v>7.7156150431901454</v>
      </c>
      <c r="AB35" s="1">
        <v>0</v>
      </c>
      <c r="AC35" s="1">
        <f t="shared" si="15"/>
        <v>0.98225680566258422</v>
      </c>
      <c r="AD35" s="133">
        <f t="shared" si="16"/>
        <v>0.98225680566258422</v>
      </c>
      <c r="AE35" s="132">
        <f t="shared" si="28"/>
        <v>2.7010838562464343</v>
      </c>
      <c r="AF35" s="1">
        <f t="shared" si="17"/>
        <v>4.5694471492116087</v>
      </c>
      <c r="AG35" s="1">
        <f t="shared" si="5"/>
        <v>0.41759694498876193</v>
      </c>
      <c r="AH35" s="1">
        <f t="shared" si="18"/>
        <v>0.43956415608347688</v>
      </c>
      <c r="AI35" s="133">
        <f t="shared" si="19"/>
        <v>0.85716110107223886</v>
      </c>
      <c r="AJ35" s="132">
        <f t="shared" si="20"/>
        <v>5</v>
      </c>
      <c r="AK35" s="1">
        <f t="shared" si="21"/>
        <v>6.2169822458540116</v>
      </c>
      <c r="AL35" s="1">
        <f t="shared" si="6"/>
        <v>0.77301736490527984</v>
      </c>
      <c r="AM35" s="1">
        <f t="shared" si="22"/>
        <v>0.15427500000000002</v>
      </c>
      <c r="AN35" s="136">
        <f t="shared" si="29"/>
        <v>0.1192923463331291</v>
      </c>
      <c r="AO35" s="133">
        <f t="shared" si="23"/>
        <v>1.046584711238409</v>
      </c>
      <c r="AP35" s="132">
        <f t="shared" si="7"/>
        <v>0.38992618649029853</v>
      </c>
      <c r="AQ35" s="137">
        <f t="shared" si="8"/>
        <v>0.98225680566258422</v>
      </c>
      <c r="AR35" s="137">
        <f t="shared" si="9"/>
        <v>4.3879020893463204E-2</v>
      </c>
      <c r="AS35" s="1">
        <f t="shared" si="10"/>
        <v>5.9279999999999999E-2</v>
      </c>
      <c r="AT35" s="133">
        <f t="shared" si="24"/>
        <v>4.6746666666666672E-2</v>
      </c>
      <c r="AU35" s="132">
        <f t="shared" si="25"/>
        <v>4.4080912976862452</v>
      </c>
      <c r="AV35" s="1">
        <f t="shared" si="26"/>
        <v>90</v>
      </c>
      <c r="AW35" s="133">
        <f t="shared" si="27"/>
        <v>95.33081197056859</v>
      </c>
    </row>
    <row r="36" spans="17:49" x14ac:dyDescent="0.25">
      <c r="Q36">
        <v>29</v>
      </c>
      <c r="R36" s="132">
        <f t="shared" si="0"/>
        <v>18</v>
      </c>
      <c r="S36" s="1">
        <f t="shared" si="1"/>
        <v>5</v>
      </c>
      <c r="T36" s="1">
        <f t="shared" si="2"/>
        <v>11.693333333333333</v>
      </c>
      <c r="U36" s="133">
        <f t="shared" si="11"/>
        <v>7.6966932725199539</v>
      </c>
      <c r="V36" s="132">
        <f>IF(Calculations!$B$17=3,2,IF((S36*R36/T36)&lt;((T36*(1-(T36/R36)))/(2*Lm*fsw)),1,2))</f>
        <v>2</v>
      </c>
      <c r="W36" s="1">
        <f t="shared" si="12"/>
        <v>0.35037037037037033</v>
      </c>
      <c r="X36" s="133">
        <f t="shared" si="3"/>
        <v>0.64962962962962967</v>
      </c>
      <c r="Y36" s="132">
        <f t="shared" si="4"/>
        <v>1.6387990123456788</v>
      </c>
      <c r="Z36" s="1">
        <f t="shared" si="13"/>
        <v>8.5160927786927942</v>
      </c>
      <c r="AA36" s="1">
        <f t="shared" si="14"/>
        <v>7.7112186141248786</v>
      </c>
      <c r="AB36" s="1">
        <v>0</v>
      </c>
      <c r="AC36" s="1">
        <f t="shared" si="15"/>
        <v>0.98113772649462927</v>
      </c>
      <c r="AD36" s="133">
        <f t="shared" si="16"/>
        <v>0.98113772649462927</v>
      </c>
      <c r="AE36" s="132">
        <f t="shared" si="28"/>
        <v>2.6966932725199539</v>
      </c>
      <c r="AF36" s="1">
        <f t="shared" si="17"/>
        <v>4.5644315827617703</v>
      </c>
      <c r="AG36" s="1">
        <f t="shared" si="5"/>
        <v>0.41668071347426244</v>
      </c>
      <c r="AH36" s="1">
        <f t="shared" si="18"/>
        <v>0.43931354938103473</v>
      </c>
      <c r="AI36" s="133">
        <f t="shared" si="19"/>
        <v>0.85599426285529723</v>
      </c>
      <c r="AJ36" s="132">
        <f t="shared" si="20"/>
        <v>5</v>
      </c>
      <c r="AK36" s="1">
        <f t="shared" si="21"/>
        <v>6.2152117293872546</v>
      </c>
      <c r="AL36" s="1">
        <f t="shared" si="6"/>
        <v>0.77257713682225815</v>
      </c>
      <c r="AM36" s="1">
        <f t="shared" si="22"/>
        <v>0.15427500000000002</v>
      </c>
      <c r="AN36" s="136">
        <f t="shared" si="29"/>
        <v>0.11922529890169913</v>
      </c>
      <c r="AO36" s="133">
        <f t="shared" si="23"/>
        <v>1.0460774357239573</v>
      </c>
      <c r="AP36" s="132">
        <f t="shared" si="7"/>
        <v>0.38948194597211039</v>
      </c>
      <c r="AQ36" s="137">
        <f t="shared" si="8"/>
        <v>0.98113772649462927</v>
      </c>
      <c r="AR36" s="137">
        <f t="shared" si="9"/>
        <v>4.3829891276470807E-2</v>
      </c>
      <c r="AS36" s="1">
        <f t="shared" si="10"/>
        <v>5.9279999999999999E-2</v>
      </c>
      <c r="AT36" s="133">
        <f t="shared" si="24"/>
        <v>4.6773333333333333E-2</v>
      </c>
      <c r="AU36" s="132">
        <f t="shared" si="25"/>
        <v>4.4037123221504277</v>
      </c>
      <c r="AV36" s="1">
        <f t="shared" si="26"/>
        <v>90</v>
      </c>
      <c r="AW36" s="133">
        <f t="shared" si="27"/>
        <v>95.335233950204341</v>
      </c>
    </row>
    <row r="37" spans="17:49" x14ac:dyDescent="0.25">
      <c r="Q37">
        <v>30</v>
      </c>
      <c r="R37" s="132">
        <f t="shared" si="0"/>
        <v>18</v>
      </c>
      <c r="S37" s="1">
        <f t="shared" si="1"/>
        <v>5</v>
      </c>
      <c r="T37" s="1">
        <f t="shared" si="2"/>
        <v>11.7</v>
      </c>
      <c r="U37" s="133">
        <f t="shared" si="11"/>
        <v>7.6923076923076925</v>
      </c>
      <c r="V37" s="132">
        <f>IF(Calculations!$B$17=3,2,IF((S37*R37/T37)&lt;((T37*(1-(T37/R37)))/(2*Lm*fsw)),1,2))</f>
        <v>2</v>
      </c>
      <c r="W37" s="1">
        <f t="shared" si="12"/>
        <v>0.35000000000000009</v>
      </c>
      <c r="X37" s="133">
        <f t="shared" si="3"/>
        <v>0.64999999999999991</v>
      </c>
      <c r="Y37" s="132">
        <f t="shared" si="4"/>
        <v>1.6380000000000003</v>
      </c>
      <c r="Z37" s="1">
        <f t="shared" si="13"/>
        <v>8.5113076923076925</v>
      </c>
      <c r="AA37" s="1">
        <f t="shared" si="14"/>
        <v>7.7068271443659677</v>
      </c>
      <c r="AB37" s="1">
        <v>0</v>
      </c>
      <c r="AC37" s="1">
        <f t="shared" si="15"/>
        <v>0.98002054644674563</v>
      </c>
      <c r="AD37" s="133">
        <f t="shared" si="16"/>
        <v>0.98002054644674563</v>
      </c>
      <c r="AE37" s="132">
        <f t="shared" si="28"/>
        <v>2.692307692307693</v>
      </c>
      <c r="AF37" s="1">
        <f t="shared" si="17"/>
        <v>4.5594204260626849</v>
      </c>
      <c r="AG37" s="1">
        <f t="shared" si="5"/>
        <v>0.41576629243195273</v>
      </c>
      <c r="AH37" s="1">
        <f t="shared" si="18"/>
        <v>0.43906322827027633</v>
      </c>
      <c r="AI37" s="133">
        <f t="shared" si="19"/>
        <v>0.85482952070222906</v>
      </c>
      <c r="AJ37" s="132">
        <f t="shared" si="20"/>
        <v>4.9999999999999991</v>
      </c>
      <c r="AK37" s="1">
        <f t="shared" si="21"/>
        <v>6.2134426859462097</v>
      </c>
      <c r="AL37" s="1">
        <f t="shared" si="6"/>
        <v>0.77213740023076893</v>
      </c>
      <c r="AM37" s="1">
        <f t="shared" si="22"/>
        <v>0.15427500000000002</v>
      </c>
      <c r="AN37" s="136">
        <f t="shared" si="29"/>
        <v>0.1191583076923077</v>
      </c>
      <c r="AO37" s="133">
        <f t="shared" si="23"/>
        <v>1.0455707079230767</v>
      </c>
      <c r="AP37" s="132">
        <f t="shared" si="7"/>
        <v>0.3890384593470414</v>
      </c>
      <c r="AQ37" s="137">
        <f t="shared" si="8"/>
        <v>0.98002054644674563</v>
      </c>
      <c r="AR37" s="137">
        <f t="shared" si="9"/>
        <v>4.3780671165133365E-2</v>
      </c>
      <c r="AS37" s="1">
        <f t="shared" si="10"/>
        <v>5.9279999999999999E-2</v>
      </c>
      <c r="AT37" s="133">
        <f t="shared" si="24"/>
        <v>4.6800000000000001E-2</v>
      </c>
      <c r="AU37" s="132">
        <f t="shared" si="25"/>
        <v>4.3993404520309713</v>
      </c>
      <c r="AV37" s="1">
        <f t="shared" si="26"/>
        <v>90</v>
      </c>
      <c r="AW37" s="133">
        <f t="shared" si="27"/>
        <v>95.339649163898031</v>
      </c>
    </row>
    <row r="38" spans="17:49" x14ac:dyDescent="0.25">
      <c r="Q38">
        <v>31</v>
      </c>
      <c r="R38" s="132">
        <f t="shared" si="0"/>
        <v>18</v>
      </c>
      <c r="S38" s="1">
        <f t="shared" si="1"/>
        <v>5</v>
      </c>
      <c r="T38" s="1">
        <f t="shared" si="2"/>
        <v>11.706666666666667</v>
      </c>
      <c r="U38" s="133">
        <f t="shared" si="11"/>
        <v>7.687927107061503</v>
      </c>
      <c r="V38" s="132">
        <f>IF(Calculations!$B$17=3,2,IF((S38*R38/T38)&lt;((T38*(1-(T38/R38)))/(2*Lm*fsw)),1,2))</f>
        <v>2</v>
      </c>
      <c r="W38" s="1">
        <f t="shared" si="12"/>
        <v>0.34962962962962962</v>
      </c>
      <c r="X38" s="133">
        <f t="shared" si="3"/>
        <v>0.65037037037037038</v>
      </c>
      <c r="Y38" s="132">
        <f t="shared" si="4"/>
        <v>1.637199012345679</v>
      </c>
      <c r="Z38" s="1">
        <f t="shared" si="13"/>
        <v>8.5065266132343424</v>
      </c>
      <c r="AA38" s="1">
        <f t="shared" si="14"/>
        <v>7.702440625368463</v>
      </c>
      <c r="AB38" s="1">
        <v>0</v>
      </c>
      <c r="AC38" s="1">
        <f t="shared" si="15"/>
        <v>0.97890526119088761</v>
      </c>
      <c r="AD38" s="133">
        <f t="shared" si="16"/>
        <v>0.97890526119088761</v>
      </c>
      <c r="AE38" s="132">
        <f t="shared" si="28"/>
        <v>2.6879271070615034</v>
      </c>
      <c r="AF38" s="1">
        <f t="shared" si="17"/>
        <v>4.5544136695621864</v>
      </c>
      <c r="AG38" s="1">
        <f t="shared" si="5"/>
        <v>0.41485367746989804</v>
      </c>
      <c r="AH38" s="1">
        <f t="shared" si="18"/>
        <v>0.43881319226328858</v>
      </c>
      <c r="AI38" s="133">
        <f t="shared" si="19"/>
        <v>0.85366686973318662</v>
      </c>
      <c r="AJ38" s="132">
        <f t="shared" si="20"/>
        <v>5</v>
      </c>
      <c r="AK38" s="1">
        <f t="shared" si="21"/>
        <v>6.2116751133516006</v>
      </c>
      <c r="AL38" s="1">
        <f t="shared" si="6"/>
        <v>0.77169815427663235</v>
      </c>
      <c r="AM38" s="1">
        <f t="shared" si="22"/>
        <v>0.15427500000000002</v>
      </c>
      <c r="AN38" s="136">
        <f t="shared" si="29"/>
        <v>0.1190913725852808</v>
      </c>
      <c r="AO38" s="133">
        <f t="shared" si="23"/>
        <v>1.0450645268619132</v>
      </c>
      <c r="AP38" s="132">
        <f t="shared" si="7"/>
        <v>0.38859572489698863</v>
      </c>
      <c r="AQ38" s="137">
        <f t="shared" si="8"/>
        <v>0.97890526119088761</v>
      </c>
      <c r="AR38" s="137">
        <f t="shared" si="9"/>
        <v>4.3731360786953728E-2</v>
      </c>
      <c r="AS38" s="1">
        <f t="shared" si="10"/>
        <v>5.9279999999999999E-2</v>
      </c>
      <c r="AT38" s="133">
        <f t="shared" si="24"/>
        <v>4.6826666666666669E-2</v>
      </c>
      <c r="AU38" s="132">
        <f t="shared" si="25"/>
        <v>4.3949756713274839</v>
      </c>
      <c r="AV38" s="1">
        <f t="shared" si="26"/>
        <v>90</v>
      </c>
      <c r="AW38" s="133">
        <f t="shared" si="27"/>
        <v>95.344057625873774</v>
      </c>
    </row>
    <row r="39" spans="17:49" x14ac:dyDescent="0.25">
      <c r="Q39">
        <v>32</v>
      </c>
      <c r="R39" s="132">
        <f t="shared" si="0"/>
        <v>18</v>
      </c>
      <c r="S39" s="1">
        <f t="shared" ref="S39:S70" si="30">IOUT</f>
        <v>5</v>
      </c>
      <c r="T39" s="1">
        <f t="shared" ref="T39:T70" si="31">VIN_MIN+($O$12)*(Q39)</f>
        <v>11.713333333333333</v>
      </c>
      <c r="U39" s="133">
        <f t="shared" si="11"/>
        <v>7.6835515082527035</v>
      </c>
      <c r="V39" s="132">
        <f>IF(Calculations!$B$17=3,2,IF((S39*R39/T39)&lt;((T39*(1-(T39/R39)))/(2*Lm*fsw)),1,2))</f>
        <v>2</v>
      </c>
      <c r="W39" s="1">
        <f t="shared" si="12"/>
        <v>0.34925925925925927</v>
      </c>
      <c r="X39" s="133">
        <f t="shared" si="3"/>
        <v>0.65074074074074073</v>
      </c>
      <c r="Y39" s="132">
        <f t="shared" si="4"/>
        <v>1.6363960493827161</v>
      </c>
      <c r="Z39" s="1">
        <f t="shared" si="13"/>
        <v>8.5017495329440607</v>
      </c>
      <c r="AA39" s="1">
        <f t="shared" si="14"/>
        <v>7.6980590486071234</v>
      </c>
      <c r="AB39" s="1">
        <v>0</v>
      </c>
      <c r="AC39" s="1">
        <f t="shared" si="15"/>
        <v>0.97779186641139326</v>
      </c>
      <c r="AD39" s="133">
        <f t="shared" si="16"/>
        <v>0.97779186641139326</v>
      </c>
      <c r="AE39" s="132">
        <f t="shared" si="28"/>
        <v>2.6835515082527035</v>
      </c>
      <c r="AF39" s="1">
        <f t="shared" si="17"/>
        <v>4.5494113037247903</v>
      </c>
      <c r="AG39" s="1">
        <f t="shared" si="5"/>
        <v>0.41394286420917797</v>
      </c>
      <c r="AH39" s="1">
        <f t="shared" si="18"/>
        <v>0.43856344087326971</v>
      </c>
      <c r="AI39" s="133">
        <f t="shared" si="19"/>
        <v>0.85250630508244774</v>
      </c>
      <c r="AJ39" s="132">
        <f t="shared" si="20"/>
        <v>5</v>
      </c>
      <c r="AK39" s="1">
        <f t="shared" si="21"/>
        <v>6.2099090094286495</v>
      </c>
      <c r="AL39" s="1">
        <f t="shared" si="6"/>
        <v>0.77125939810766231</v>
      </c>
      <c r="AM39" s="1">
        <f t="shared" si="22"/>
        <v>0.15427500000000002</v>
      </c>
      <c r="AN39" s="136">
        <f t="shared" si="29"/>
        <v>0.11902449346121685</v>
      </c>
      <c r="AO39" s="133">
        <f t="shared" si="23"/>
        <v>1.0445588915688793</v>
      </c>
      <c r="AP39" s="132">
        <f t="shared" si="7"/>
        <v>0.38815374090876514</v>
      </c>
      <c r="AQ39" s="137">
        <f t="shared" si="8"/>
        <v>0.97779186641139326</v>
      </c>
      <c r="AR39" s="137">
        <f t="shared" si="9"/>
        <v>4.3681960369938225E-2</v>
      </c>
      <c r="AS39" s="1">
        <f t="shared" si="10"/>
        <v>5.9279999999999999E-2</v>
      </c>
      <c r="AT39" s="133">
        <f t="shared" si="24"/>
        <v>4.685333333333333E-2</v>
      </c>
      <c r="AU39" s="132">
        <f t="shared" si="25"/>
        <v>4.3906179640861511</v>
      </c>
      <c r="AV39" s="1">
        <f t="shared" si="26"/>
        <v>90</v>
      </c>
      <c r="AW39" s="133">
        <f t="shared" si="27"/>
        <v>95.348459350317327</v>
      </c>
    </row>
    <row r="40" spans="17:49" x14ac:dyDescent="0.25">
      <c r="Q40">
        <v>33</v>
      </c>
      <c r="R40" s="132">
        <f t="shared" si="0"/>
        <v>18</v>
      </c>
      <c r="S40" s="1">
        <f t="shared" si="30"/>
        <v>5</v>
      </c>
      <c r="T40" s="1">
        <f t="shared" si="31"/>
        <v>11.72</v>
      </c>
      <c r="U40" s="133">
        <f t="shared" si="11"/>
        <v>7.6791808873720129</v>
      </c>
      <c r="V40" s="132">
        <f>IF(Calculations!$B$17=3,2,IF((S40*R40/T40)&lt;((T40*(1-(T40/R40)))/(2*Lm*fsw)),1,2))</f>
        <v>2</v>
      </c>
      <c r="W40" s="1">
        <f t="shared" si="12"/>
        <v>0.3488888888888888</v>
      </c>
      <c r="X40" s="133">
        <f t="shared" si="3"/>
        <v>0.6511111111111112</v>
      </c>
      <c r="Y40" s="132">
        <f t="shared" si="4"/>
        <v>1.6355911111111108</v>
      </c>
      <c r="Z40" s="1">
        <f t="shared" si="13"/>
        <v>8.4969764429275685</v>
      </c>
      <c r="AA40" s="1">
        <f t="shared" si="14"/>
        <v>7.6936824055763502</v>
      </c>
      <c r="AB40" s="1">
        <v>0</v>
      </c>
      <c r="AC40" s="1">
        <f t="shared" si="15"/>
        <v>0.97668035780493911</v>
      </c>
      <c r="AD40" s="133">
        <f t="shared" si="16"/>
        <v>0.97668035780493911</v>
      </c>
      <c r="AE40" s="132">
        <f t="shared" si="28"/>
        <v>2.6791808873720129</v>
      </c>
      <c r="AF40" s="1">
        <f t="shared" si="17"/>
        <v>4.5444133190316185</v>
      </c>
      <c r="AG40" s="1">
        <f t="shared" si="5"/>
        <v>0.41303384828383943</v>
      </c>
      <c r="AH40" s="1">
        <f t="shared" si="18"/>
        <v>0.43831397361452495</v>
      </c>
      <c r="AI40" s="133">
        <f t="shared" si="19"/>
        <v>0.85134782189836433</v>
      </c>
      <c r="AJ40" s="132">
        <f t="shared" si="20"/>
        <v>5</v>
      </c>
      <c r="AK40" s="1">
        <f t="shared" si="21"/>
        <v>6.2081443720070748</v>
      </c>
      <c r="AL40" s="1">
        <f t="shared" si="6"/>
        <v>0.77082113087366244</v>
      </c>
      <c r="AM40" s="1">
        <f t="shared" si="22"/>
        <v>0.15427500000000002</v>
      </c>
      <c r="AN40" s="136">
        <f t="shared" si="29"/>
        <v>0.11895767020098597</v>
      </c>
      <c r="AO40" s="133">
        <f t="shared" si="23"/>
        <v>1.0440538010746485</v>
      </c>
      <c r="AP40" s="132">
        <f t="shared" si="7"/>
        <v>0.38771250567408183</v>
      </c>
      <c r="AQ40" s="137">
        <f t="shared" si="8"/>
        <v>0.97668035780493911</v>
      </c>
      <c r="AR40" s="137">
        <f t="shared" si="9"/>
        <v>4.3632470142596073E-2</v>
      </c>
      <c r="AS40" s="1">
        <f t="shared" si="10"/>
        <v>5.9279999999999999E-2</v>
      </c>
      <c r="AT40" s="133">
        <f t="shared" si="24"/>
        <v>4.6880000000000005E-2</v>
      </c>
      <c r="AU40" s="132">
        <f t="shared" si="25"/>
        <v>4.3862673143995687</v>
      </c>
      <c r="AV40" s="1">
        <f t="shared" si="26"/>
        <v>90</v>
      </c>
      <c r="AW40" s="133">
        <f t="shared" si="27"/>
        <v>95.352854351376166</v>
      </c>
    </row>
    <row r="41" spans="17:49" x14ac:dyDescent="0.25">
      <c r="Q41">
        <v>34</v>
      </c>
      <c r="R41" s="132">
        <f t="shared" si="0"/>
        <v>18</v>
      </c>
      <c r="S41" s="1">
        <f t="shared" si="30"/>
        <v>5</v>
      </c>
      <c r="T41" s="1">
        <f t="shared" si="31"/>
        <v>11.726666666666667</v>
      </c>
      <c r="U41" s="133">
        <f t="shared" si="11"/>
        <v>7.6748152359295059</v>
      </c>
      <c r="V41" s="132">
        <f>IF(Calculations!$B$17=3,2,IF((S41*R41/T41)&lt;((T41*(1-(T41/R41)))/(2*Lm*fsw)),1,2))</f>
        <v>2</v>
      </c>
      <c r="W41" s="1">
        <f t="shared" si="12"/>
        <v>0.34851851851851856</v>
      </c>
      <c r="X41" s="133">
        <f t="shared" si="3"/>
        <v>0.65148148148148144</v>
      </c>
      <c r="Y41" s="132">
        <f t="shared" si="4"/>
        <v>1.6347841975308643</v>
      </c>
      <c r="Z41" s="1">
        <f t="shared" si="13"/>
        <v>8.4922073346949389</v>
      </c>
      <c r="AA41" s="1">
        <f t="shared" si="14"/>
        <v>7.6893106877901438</v>
      </c>
      <c r="AB41" s="1">
        <v>0</v>
      </c>
      <c r="AC41" s="1">
        <f t="shared" si="15"/>
        <v>0.97557073108050174</v>
      </c>
      <c r="AD41" s="133">
        <f t="shared" si="16"/>
        <v>0.97557073108050174</v>
      </c>
      <c r="AE41" s="132">
        <f t="shared" si="28"/>
        <v>2.6748152359295059</v>
      </c>
      <c r="AF41" s="1">
        <f t="shared" si="17"/>
        <v>4.5394197059803476</v>
      </c>
      <c r="AG41" s="1">
        <f t="shared" si="5"/>
        <v>0.41212662534085409</v>
      </c>
      <c r="AH41" s="1">
        <f t="shared" si="18"/>
        <v>0.43806479000246445</v>
      </c>
      <c r="AI41" s="133">
        <f t="shared" si="19"/>
        <v>0.85019141534331855</v>
      </c>
      <c r="AJ41" s="132">
        <f t="shared" si="20"/>
        <v>5</v>
      </c>
      <c r="AK41" s="1">
        <f t="shared" si="21"/>
        <v>6.2063811989210791</v>
      </c>
      <c r="AL41" s="1">
        <f t="shared" si="6"/>
        <v>0.77038335172642114</v>
      </c>
      <c r="AM41" s="1">
        <f t="shared" si="22"/>
        <v>0.15427500000000002</v>
      </c>
      <c r="AN41" s="136">
        <f t="shared" si="29"/>
        <v>0.11889090268572915</v>
      </c>
      <c r="AO41" s="133">
        <f t="shared" si="23"/>
        <v>1.0435492544121503</v>
      </c>
      <c r="AP41" s="132">
        <f t="shared" si="7"/>
        <v>0.38727201748953244</v>
      </c>
      <c r="AQ41" s="137">
        <f t="shared" si="8"/>
        <v>0.97557073108050174</v>
      </c>
      <c r="AR41" s="137">
        <f t="shared" si="9"/>
        <v>4.3582890333938522E-2</v>
      </c>
      <c r="AS41" s="1">
        <f t="shared" si="10"/>
        <v>5.9279999999999999E-2</v>
      </c>
      <c r="AT41" s="133">
        <f t="shared" si="24"/>
        <v>4.6906666666666666E-2</v>
      </c>
      <c r="AU41" s="132">
        <f t="shared" si="25"/>
        <v>4.3819237064066101</v>
      </c>
      <c r="AV41" s="1">
        <f t="shared" si="26"/>
        <v>90</v>
      </c>
      <c r="AW41" s="133">
        <f t="shared" si="27"/>
        <v>95.35724264315968</v>
      </c>
    </row>
    <row r="42" spans="17:49" x14ac:dyDescent="0.25">
      <c r="Q42">
        <v>35</v>
      </c>
      <c r="R42" s="132">
        <f t="shared" si="0"/>
        <v>18</v>
      </c>
      <c r="S42" s="1">
        <f t="shared" si="30"/>
        <v>5</v>
      </c>
      <c r="T42" s="1">
        <f t="shared" si="31"/>
        <v>11.733333333333333</v>
      </c>
      <c r="U42" s="133">
        <f t="shared" si="11"/>
        <v>7.6704545454545459</v>
      </c>
      <c r="V42" s="132">
        <f>IF(Calculations!$B$17=3,2,IF((S42*R42/T42)&lt;((T42*(1-(T42/R42)))/(2*Lm*fsw)),1,2))</f>
        <v>2</v>
      </c>
      <c r="W42" s="1">
        <f t="shared" si="12"/>
        <v>0.34814814814814821</v>
      </c>
      <c r="X42" s="133">
        <f t="shared" si="3"/>
        <v>0.65185185185185179</v>
      </c>
      <c r="Y42" s="132">
        <f t="shared" si="4"/>
        <v>1.6339753086419755</v>
      </c>
      <c r="Z42" s="1">
        <f t="shared" si="13"/>
        <v>8.4874421997755327</v>
      </c>
      <c r="AA42" s="1">
        <f t="shared" si="14"/>
        <v>7.6849438867820368</v>
      </c>
      <c r="AB42" s="1">
        <v>0</v>
      </c>
      <c r="AC42" s="1">
        <f t="shared" si="15"/>
        <v>0.97446298195931191</v>
      </c>
      <c r="AD42" s="133">
        <f t="shared" si="16"/>
        <v>0.97446298195931191</v>
      </c>
      <c r="AE42" s="132">
        <f t="shared" si="28"/>
        <v>2.6704545454545459</v>
      </c>
      <c r="AF42" s="1">
        <f t="shared" si="17"/>
        <v>4.5344304550851193</v>
      </c>
      <c r="AG42" s="1">
        <f t="shared" si="5"/>
        <v>0.41122119104006888</v>
      </c>
      <c r="AH42" s="1">
        <f t="shared" si="18"/>
        <v>0.43781588955359935</v>
      </c>
      <c r="AI42" s="133">
        <f t="shared" si="19"/>
        <v>0.84903708059366823</v>
      </c>
      <c r="AJ42" s="132">
        <f t="shared" si="20"/>
        <v>5</v>
      </c>
      <c r="AK42" s="1">
        <f t="shared" si="21"/>
        <v>6.2046194880093299</v>
      </c>
      <c r="AL42" s="1">
        <f t="shared" si="6"/>
        <v>0.76994605981970321</v>
      </c>
      <c r="AM42" s="1">
        <f t="shared" si="22"/>
        <v>0.15427500000000002</v>
      </c>
      <c r="AN42" s="136">
        <f t="shared" si="29"/>
        <v>0.11882419079685747</v>
      </c>
      <c r="AO42" s="133">
        <f t="shared" si="23"/>
        <v>1.0430452506165606</v>
      </c>
      <c r="AP42" s="132">
        <f t="shared" si="7"/>
        <v>0.38683227465657527</v>
      </c>
      <c r="AQ42" s="137">
        <f t="shared" si="8"/>
        <v>0.97446298195931191</v>
      </c>
      <c r="AR42" s="137">
        <f t="shared" si="9"/>
        <v>4.3533221173479054E-2</v>
      </c>
      <c r="AS42" s="1">
        <f t="shared" si="10"/>
        <v>5.9279999999999999E-2</v>
      </c>
      <c r="AT42" s="133">
        <f t="shared" si="24"/>
        <v>4.6933333333333334E-2</v>
      </c>
      <c r="AU42" s="132">
        <f t="shared" si="25"/>
        <v>4.3775871242922406</v>
      </c>
      <c r="AV42" s="1">
        <f t="shared" si="26"/>
        <v>90</v>
      </c>
      <c r="AW42" s="133">
        <f t="shared" si="27"/>
        <v>95.361624239739157</v>
      </c>
    </row>
    <row r="43" spans="17:49" x14ac:dyDescent="0.25">
      <c r="Q43">
        <v>36</v>
      </c>
      <c r="R43" s="132">
        <f t="shared" si="0"/>
        <v>18</v>
      </c>
      <c r="S43" s="1">
        <f t="shared" si="30"/>
        <v>5</v>
      </c>
      <c r="T43" s="1">
        <f t="shared" si="31"/>
        <v>11.74</v>
      </c>
      <c r="U43" s="133">
        <f t="shared" si="11"/>
        <v>7.6660988074957412</v>
      </c>
      <c r="V43" s="132">
        <f>IF(Calculations!$B$17=3,2,IF((S43*R43/T43)&lt;((T43*(1-(T43/R43)))/(2*Lm*fsw)),1,2))</f>
        <v>2</v>
      </c>
      <c r="W43" s="1">
        <f t="shared" si="12"/>
        <v>0.34777777777777774</v>
      </c>
      <c r="X43" s="133">
        <f t="shared" si="3"/>
        <v>0.65222222222222226</v>
      </c>
      <c r="Y43" s="132">
        <f t="shared" si="4"/>
        <v>1.6331644444444442</v>
      </c>
      <c r="Z43" s="1">
        <f t="shared" si="13"/>
        <v>8.4826810297179627</v>
      </c>
      <c r="AA43" s="1">
        <f t="shared" si="14"/>
        <v>7.6805819941050535</v>
      </c>
      <c r="AB43" s="1">
        <v>0</v>
      </c>
      <c r="AC43" s="1">
        <f t="shared" si="15"/>
        <v>0.97335710617481763</v>
      </c>
      <c r="AD43" s="133">
        <f t="shared" si="16"/>
        <v>0.97335710617481763</v>
      </c>
      <c r="AE43" s="132">
        <f t="shared" si="28"/>
        <v>2.6660988074957408</v>
      </c>
      <c r="AF43" s="1">
        <f t="shared" si="17"/>
        <v>4.5294455568765004</v>
      </c>
      <c r="AG43" s="1">
        <f t="shared" si="5"/>
        <v>0.4103175410541654</v>
      </c>
      <c r="AH43" s="1">
        <f t="shared" si="18"/>
        <v>0.43756727178553945</v>
      </c>
      <c r="AI43" s="133">
        <f t="shared" si="19"/>
        <v>0.84788481283970485</v>
      </c>
      <c r="AJ43" s="132">
        <f t="shared" si="20"/>
        <v>5</v>
      </c>
      <c r="AK43" s="1">
        <f t="shared" si="21"/>
        <v>6.2028592371149678</v>
      </c>
      <c r="AL43" s="1">
        <f t="shared" si="6"/>
        <v>0.76950925430924955</v>
      </c>
      <c r="AM43" s="1">
        <f t="shared" si="22"/>
        <v>0.15427500000000002</v>
      </c>
      <c r="AN43" s="136">
        <f t="shared" si="29"/>
        <v>0.11875753441605148</v>
      </c>
      <c r="AO43" s="133">
        <f t="shared" si="23"/>
        <v>1.042541788725301</v>
      </c>
      <c r="AP43" s="132">
        <f t="shared" si="7"/>
        <v>0.38639327548151847</v>
      </c>
      <c r="AQ43" s="137">
        <f t="shared" si="8"/>
        <v>0.97335710617481763</v>
      </c>
      <c r="AR43" s="137">
        <f t="shared" si="9"/>
        <v>4.3483462891232096E-2</v>
      </c>
      <c r="AS43" s="1">
        <f t="shared" si="10"/>
        <v>5.9279999999999999E-2</v>
      </c>
      <c r="AT43" s="133">
        <f t="shared" si="24"/>
        <v>4.6960000000000002E-2</v>
      </c>
      <c r="AU43" s="132">
        <f t="shared" si="25"/>
        <v>4.3732575522873924</v>
      </c>
      <c r="AV43" s="1">
        <f t="shared" si="26"/>
        <v>90</v>
      </c>
      <c r="AW43" s="133">
        <f t="shared" si="27"/>
        <v>95.365999155147946</v>
      </c>
    </row>
    <row r="44" spans="17:49" x14ac:dyDescent="0.25">
      <c r="Q44">
        <v>37</v>
      </c>
      <c r="R44" s="132">
        <f t="shared" si="0"/>
        <v>18</v>
      </c>
      <c r="S44" s="1">
        <f t="shared" si="30"/>
        <v>5</v>
      </c>
      <c r="T44" s="1">
        <f t="shared" si="31"/>
        <v>11.746666666666666</v>
      </c>
      <c r="U44" s="133">
        <f t="shared" si="11"/>
        <v>7.661748013620886</v>
      </c>
      <c r="V44" s="132">
        <f>IF(Calculations!$B$17=3,2,IF((S44*R44/T44)&lt;((T44*(1-(T44/R44)))/(2*Lm*fsw)),1,2))</f>
        <v>2</v>
      </c>
      <c r="W44" s="1">
        <f t="shared" si="12"/>
        <v>0.34740740740740739</v>
      </c>
      <c r="X44" s="133">
        <f t="shared" si="3"/>
        <v>0.65259259259259261</v>
      </c>
      <c r="Y44" s="132">
        <f t="shared" si="4"/>
        <v>1.6323516049382714</v>
      </c>
      <c r="Z44" s="1">
        <f t="shared" si="13"/>
        <v>8.477923816090021</v>
      </c>
      <c r="AA44" s="1">
        <f t="shared" si="14"/>
        <v>7.676225001331642</v>
      </c>
      <c r="AB44" s="1">
        <v>0</v>
      </c>
      <c r="AC44" s="1">
        <f t="shared" si="15"/>
        <v>0.97225309947263794</v>
      </c>
      <c r="AD44" s="133">
        <f t="shared" si="16"/>
        <v>0.97225309947263794</v>
      </c>
      <c r="AE44" s="132">
        <f t="shared" si="28"/>
        <v>2.6617480136208855</v>
      </c>
      <c r="AF44" s="1">
        <f t="shared" si="17"/>
        <v>4.5244650019013983</v>
      </c>
      <c r="AG44" s="1">
        <f t="shared" si="5"/>
        <v>0.40941567106861243</v>
      </c>
      <c r="AH44" s="1">
        <f t="shared" si="18"/>
        <v>0.43731893621698925</v>
      </c>
      <c r="AI44" s="133">
        <f t="shared" si="19"/>
        <v>0.84673460728560168</v>
      </c>
      <c r="AJ44" s="132">
        <f t="shared" si="20"/>
        <v>5.0000000000000009</v>
      </c>
      <c r="AK44" s="1">
        <f t="shared" si="21"/>
        <v>6.2011004440855766</v>
      </c>
      <c r="AL44" s="1">
        <f t="shared" si="6"/>
        <v>0.76907293435276669</v>
      </c>
      <c r="AM44" s="1">
        <f t="shared" si="22"/>
        <v>0.15427500000000002</v>
      </c>
      <c r="AN44" s="136">
        <f t="shared" si="29"/>
        <v>0.1186909334252603</v>
      </c>
      <c r="AO44" s="133">
        <f t="shared" si="23"/>
        <v>1.042038867778027</v>
      </c>
      <c r="AP44" s="132">
        <f t="shared" si="7"/>
        <v>0.38595501827550166</v>
      </c>
      <c r="AQ44" s="137">
        <f t="shared" si="8"/>
        <v>0.97225309947263794</v>
      </c>
      <c r="AR44" s="137">
        <f t="shared" si="9"/>
        <v>4.3433615717713189E-2</v>
      </c>
      <c r="AS44" s="1">
        <f t="shared" si="10"/>
        <v>5.9279999999999999E-2</v>
      </c>
      <c r="AT44" s="133">
        <f t="shared" si="24"/>
        <v>4.6986666666666663E-2</v>
      </c>
      <c r="AU44" s="132">
        <f t="shared" si="25"/>
        <v>4.368934974668786</v>
      </c>
      <c r="AV44" s="1">
        <f t="shared" si="26"/>
        <v>90</v>
      </c>
      <c r="AW44" s="133">
        <f t="shared" si="27"/>
        <v>95.370367403381707</v>
      </c>
    </row>
    <row r="45" spans="17:49" x14ac:dyDescent="0.25">
      <c r="Q45">
        <v>38</v>
      </c>
      <c r="R45" s="132">
        <f t="shared" si="0"/>
        <v>18</v>
      </c>
      <c r="S45" s="1">
        <f t="shared" si="30"/>
        <v>5</v>
      </c>
      <c r="T45" s="1">
        <f t="shared" si="31"/>
        <v>11.753333333333334</v>
      </c>
      <c r="U45" s="133">
        <f t="shared" si="11"/>
        <v>7.6574021554169027</v>
      </c>
      <c r="V45" s="132">
        <f>IF(Calculations!$B$17=3,2,IF((S45*R45/T45)&lt;((T45*(1-(T45/R45)))/(2*Lm*fsw)),1,2))</f>
        <v>2</v>
      </c>
      <c r="W45" s="1">
        <f t="shared" si="12"/>
        <v>0.34703703703703703</v>
      </c>
      <c r="X45" s="133">
        <f t="shared" si="3"/>
        <v>0.65296296296296297</v>
      </c>
      <c r="Y45" s="132">
        <f t="shared" si="4"/>
        <v>1.631536790123457</v>
      </c>
      <c r="Z45" s="1">
        <f t="shared" si="13"/>
        <v>8.4731705504786312</v>
      </c>
      <c r="AA45" s="1">
        <f t="shared" si="14"/>
        <v>7.6718729000536294</v>
      </c>
      <c r="AB45" s="1">
        <v>0</v>
      </c>
      <c r="AC45" s="1">
        <f t="shared" si="15"/>
        <v>0.97115095761052528</v>
      </c>
      <c r="AD45" s="133">
        <f t="shared" si="16"/>
        <v>0.97115095761052528</v>
      </c>
      <c r="AE45" s="132">
        <f t="shared" si="28"/>
        <v>2.6574021554169027</v>
      </c>
      <c r="AF45" s="1">
        <f t="shared" si="17"/>
        <v>4.5194887807230009</v>
      </c>
      <c r="AG45" s="1">
        <f t="shared" si="5"/>
        <v>0.40851557678162154</v>
      </c>
      <c r="AH45" s="1">
        <f t="shared" si="18"/>
        <v>0.43707088236774522</v>
      </c>
      <c r="AI45" s="133">
        <f t="shared" si="19"/>
        <v>0.8455864591493667</v>
      </c>
      <c r="AJ45" s="132">
        <f t="shared" si="20"/>
        <v>5</v>
      </c>
      <c r="AK45" s="1">
        <f t="shared" si="21"/>
        <v>6.1993431067731848</v>
      </c>
      <c r="AL45" s="1">
        <f t="shared" si="6"/>
        <v>0.76863709910992417</v>
      </c>
      <c r="AM45" s="1">
        <f t="shared" si="22"/>
        <v>0.15427500000000002</v>
      </c>
      <c r="AN45" s="136">
        <f t="shared" si="29"/>
        <v>0.11862438770670083</v>
      </c>
      <c r="AO45" s="133">
        <f t="shared" si="23"/>
        <v>1.041536486816625</v>
      </c>
      <c r="AP45" s="132">
        <f t="shared" si="7"/>
        <v>0.38551750135448121</v>
      </c>
      <c r="AQ45" s="137">
        <f t="shared" si="8"/>
        <v>0.97115095761052528</v>
      </c>
      <c r="AR45" s="137">
        <f t="shared" si="9"/>
        <v>4.3383679883938514E-2</v>
      </c>
      <c r="AS45" s="1">
        <f t="shared" si="10"/>
        <v>5.9279999999999999E-2</v>
      </c>
      <c r="AT45" s="133">
        <f t="shared" si="24"/>
        <v>4.7013333333333338E-2</v>
      </c>
      <c r="AU45" s="132">
        <f t="shared" si="25"/>
        <v>4.364619375758795</v>
      </c>
      <c r="AV45" s="1">
        <f t="shared" si="26"/>
        <v>90</v>
      </c>
      <c r="AW45" s="133">
        <f t="shared" si="27"/>
        <v>95.374728998398297</v>
      </c>
    </row>
    <row r="46" spans="17:49" x14ac:dyDescent="0.25">
      <c r="Q46">
        <v>39</v>
      </c>
      <c r="R46" s="132">
        <f t="shared" si="0"/>
        <v>18</v>
      </c>
      <c r="S46" s="1">
        <f t="shared" si="30"/>
        <v>5</v>
      </c>
      <c r="T46" s="1">
        <f t="shared" si="31"/>
        <v>11.76</v>
      </c>
      <c r="U46" s="133">
        <f t="shared" si="11"/>
        <v>7.6530612244897958</v>
      </c>
      <c r="V46" s="132">
        <f>IF(Calculations!$B$17=3,2,IF((S46*R46/T46)&lt;((T46*(1-(T46/R46)))/(2*Lm*fsw)),1,2))</f>
        <v>2</v>
      </c>
      <c r="W46" s="1">
        <f t="shared" si="12"/>
        <v>0.34666666666666668</v>
      </c>
      <c r="X46" s="133">
        <f t="shared" si="3"/>
        <v>0.65333333333333332</v>
      </c>
      <c r="Y46" s="132">
        <f t="shared" si="4"/>
        <v>1.6307200000000002</v>
      </c>
      <c r="Z46" s="1">
        <f t="shared" si="13"/>
        <v>8.468421224489795</v>
      </c>
      <c r="AA46" s="1">
        <f t="shared" si="14"/>
        <v>7.6675256818821662</v>
      </c>
      <c r="AB46" s="1">
        <v>0</v>
      </c>
      <c r="AC46" s="1">
        <f t="shared" si="15"/>
        <v>0.97005067635832265</v>
      </c>
      <c r="AD46" s="133">
        <f t="shared" si="16"/>
        <v>0.97005067635832265</v>
      </c>
      <c r="AE46" s="132">
        <f t="shared" si="28"/>
        <v>2.6530612244897958</v>
      </c>
      <c r="AF46" s="1">
        <f t="shared" si="17"/>
        <v>4.5145168839207095</v>
      </c>
      <c r="AG46" s="1">
        <f t="shared" si="5"/>
        <v>0.40761725390410308</v>
      </c>
      <c r="AH46" s="1">
        <f t="shared" si="18"/>
        <v>0.43682310975869332</v>
      </c>
      <c r="AI46" s="133">
        <f t="shared" si="19"/>
        <v>0.8444403636627964</v>
      </c>
      <c r="AJ46" s="132">
        <f t="shared" si="20"/>
        <v>5</v>
      </c>
      <c r="AK46" s="1">
        <f t="shared" si="21"/>
        <v>6.1975872230342519</v>
      </c>
      <c r="AL46" s="1">
        <f t="shared" si="6"/>
        <v>0.76820174774234817</v>
      </c>
      <c r="AM46" s="1">
        <f t="shared" si="22"/>
        <v>0.15427500000000002</v>
      </c>
      <c r="AN46" s="136">
        <f t="shared" si="29"/>
        <v>0.11855789714285714</v>
      </c>
      <c r="AO46" s="133">
        <f t="shared" si="23"/>
        <v>1.0410346448852055</v>
      </c>
      <c r="AP46" s="132">
        <f t="shared" si="7"/>
        <v>0.38508072303921287</v>
      </c>
      <c r="AQ46" s="137">
        <f t="shared" si="8"/>
        <v>0.97005067635832265</v>
      </c>
      <c r="AR46" s="137">
        <f t="shared" si="9"/>
        <v>4.3333655621423911E-2</v>
      </c>
      <c r="AS46" s="1">
        <f t="shared" si="10"/>
        <v>5.9279999999999999E-2</v>
      </c>
      <c r="AT46" s="133">
        <f t="shared" si="24"/>
        <v>4.7039999999999998E-2</v>
      </c>
      <c r="AU46" s="132">
        <f t="shared" si="25"/>
        <v>4.3603107399252847</v>
      </c>
      <c r="AV46" s="1">
        <f t="shared" si="26"/>
        <v>90</v>
      </c>
      <c r="AW46" s="133">
        <f t="shared" si="27"/>
        <v>95.379083954118045</v>
      </c>
    </row>
    <row r="47" spans="17:49" x14ac:dyDescent="0.25">
      <c r="Q47">
        <v>40</v>
      </c>
      <c r="R47" s="132">
        <f t="shared" si="0"/>
        <v>18</v>
      </c>
      <c r="S47" s="1">
        <f t="shared" si="30"/>
        <v>5</v>
      </c>
      <c r="T47" s="1">
        <f t="shared" si="31"/>
        <v>11.766666666666667</v>
      </c>
      <c r="U47" s="133">
        <f t="shared" si="11"/>
        <v>7.6487252124645888</v>
      </c>
      <c r="V47" s="132">
        <f>IF(Calculations!$B$17=3,2,IF((S47*R47/T47)&lt;((T47*(1-(T47/R47)))/(2*Lm*fsw)),1,2))</f>
        <v>2</v>
      </c>
      <c r="W47" s="1">
        <f t="shared" si="12"/>
        <v>0.34629629629629621</v>
      </c>
      <c r="X47" s="133">
        <f t="shared" si="3"/>
        <v>0.65370370370370379</v>
      </c>
      <c r="Y47" s="132">
        <f t="shared" si="4"/>
        <v>1.6299012345679009</v>
      </c>
      <c r="Z47" s="1">
        <f t="shared" si="13"/>
        <v>8.4636758297485386</v>
      </c>
      <c r="AA47" s="1">
        <f t="shared" si="14"/>
        <v>7.6631833384476691</v>
      </c>
      <c r="AB47" s="1">
        <v>0</v>
      </c>
      <c r="AC47" s="1">
        <f t="shared" si="15"/>
        <v>0.96895225149792252</v>
      </c>
      <c r="AD47" s="133">
        <f t="shared" si="16"/>
        <v>0.96895225149792252</v>
      </c>
      <c r="AE47" s="132">
        <f t="shared" si="28"/>
        <v>2.6487252124645884</v>
      </c>
      <c r="AF47" s="1">
        <f t="shared" si="17"/>
        <v>4.5095493020900745</v>
      </c>
      <c r="AG47" s="1">
        <f t="shared" si="5"/>
        <v>0.40672069815962153</v>
      </c>
      <c r="AH47" s="1">
        <f t="shared" si="18"/>
        <v>0.43657561791180438</v>
      </c>
      <c r="AI47" s="133">
        <f t="shared" si="19"/>
        <v>0.84329631607142597</v>
      </c>
      <c r="AJ47" s="132">
        <f t="shared" si="20"/>
        <v>5</v>
      </c>
      <c r="AK47" s="1">
        <f t="shared" si="21"/>
        <v>6.1958327907296598</v>
      </c>
      <c r="AL47" s="1">
        <f t="shared" si="6"/>
        <v>0.76776687941361776</v>
      </c>
      <c r="AM47" s="1">
        <f t="shared" si="22"/>
        <v>0.15427500000000002</v>
      </c>
      <c r="AN47" s="136">
        <f t="shared" si="29"/>
        <v>0.11849146161647954</v>
      </c>
      <c r="AO47" s="133">
        <f t="shared" si="23"/>
        <v>1.0405333410300974</v>
      </c>
      <c r="AP47" s="132">
        <f t="shared" si="7"/>
        <v>0.38464468165523585</v>
      </c>
      <c r="AQ47" s="137">
        <f t="shared" si="8"/>
        <v>0.96895225149792252</v>
      </c>
      <c r="AR47" s="137">
        <f t="shared" si="9"/>
        <v>4.3283543162184752E-2</v>
      </c>
      <c r="AS47" s="1">
        <f t="shared" si="10"/>
        <v>5.9279999999999999E-2</v>
      </c>
      <c r="AT47" s="133">
        <f t="shared" si="24"/>
        <v>4.7066666666666673E-2</v>
      </c>
      <c r="AU47" s="132">
        <f t="shared" si="25"/>
        <v>4.3560090515814567</v>
      </c>
      <c r="AV47" s="1">
        <f t="shared" si="26"/>
        <v>90</v>
      </c>
      <c r="AW47" s="133">
        <f t="shared" si="27"/>
        <v>95.383432284423819</v>
      </c>
    </row>
    <row r="48" spans="17:49" x14ac:dyDescent="0.25">
      <c r="Q48">
        <v>41</v>
      </c>
      <c r="R48" s="132">
        <f t="shared" si="0"/>
        <v>18</v>
      </c>
      <c r="S48" s="1">
        <f t="shared" si="30"/>
        <v>5</v>
      </c>
      <c r="T48" s="1">
        <f t="shared" si="31"/>
        <v>11.773333333333333</v>
      </c>
      <c r="U48" s="133">
        <f t="shared" si="11"/>
        <v>7.6443941109852771</v>
      </c>
      <c r="V48" s="132">
        <f>IF(Calculations!$B$17=3,2,IF((S48*R48/T48)&lt;((T48*(1-(T48/R48)))/(2*Lm*fsw)),1,2))</f>
        <v>2</v>
      </c>
      <c r="W48" s="1">
        <f t="shared" si="12"/>
        <v>0.34592592592592597</v>
      </c>
      <c r="X48" s="133">
        <f t="shared" si="3"/>
        <v>0.65407407407407403</v>
      </c>
      <c r="Y48" s="132">
        <f t="shared" si="4"/>
        <v>1.6290804938271606</v>
      </c>
      <c r="Z48" s="1">
        <f t="shared" si="13"/>
        <v>8.4589343578988583</v>
      </c>
      <c r="AA48" s="1">
        <f t="shared" si="14"/>
        <v>7.6588458613997714</v>
      </c>
      <c r="AB48" s="1">
        <v>0</v>
      </c>
      <c r="AC48" s="1">
        <f t="shared" si="15"/>
        <v>0.96785567882322676</v>
      </c>
      <c r="AD48" s="133">
        <f t="shared" si="16"/>
        <v>0.96785567882322676</v>
      </c>
      <c r="AE48" s="132">
        <f t="shared" si="28"/>
        <v>2.6443941109852775</v>
      </c>
      <c r="AF48" s="1">
        <f t="shared" si="17"/>
        <v>4.5045860258427295</v>
      </c>
      <c r="AG48" s="1">
        <f t="shared" si="5"/>
        <v>0.40582590528435192</v>
      </c>
      <c r="AH48" s="1">
        <f t="shared" si="18"/>
        <v>0.43632840635013304</v>
      </c>
      <c r="AI48" s="133">
        <f t="shared" si="19"/>
        <v>0.84215431163448495</v>
      </c>
      <c r="AJ48" s="132">
        <f t="shared" si="20"/>
        <v>4.9999999999999991</v>
      </c>
      <c r="AK48" s="1">
        <f t="shared" si="21"/>
        <v>6.1940798077246964</v>
      </c>
      <c r="AL48" s="1">
        <f t="shared" si="6"/>
        <v>0.76733249328925623</v>
      </c>
      <c r="AM48" s="1">
        <f t="shared" si="22"/>
        <v>0.15427500000000002</v>
      </c>
      <c r="AN48" s="136">
        <f t="shared" si="29"/>
        <v>0.11842508101058402</v>
      </c>
      <c r="AO48" s="133">
        <f t="shared" si="23"/>
        <v>1.0400325742998402</v>
      </c>
      <c r="AP48" s="132">
        <f t="shared" si="7"/>
        <v>0.38420937553285661</v>
      </c>
      <c r="AQ48" s="137">
        <f t="shared" si="8"/>
        <v>0.96785567882322676</v>
      </c>
      <c r="AR48" s="137">
        <f t="shared" si="9"/>
        <v>4.3233342738735615E-2</v>
      </c>
      <c r="AS48" s="1">
        <f t="shared" si="10"/>
        <v>5.9279999999999999E-2</v>
      </c>
      <c r="AT48" s="133">
        <f t="shared" si="24"/>
        <v>4.7093333333333334E-2</v>
      </c>
      <c r="AU48" s="132">
        <f t="shared" si="25"/>
        <v>4.3517142951857037</v>
      </c>
      <c r="AV48" s="1">
        <f t="shared" si="26"/>
        <v>90</v>
      </c>
      <c r="AW48" s="133">
        <f t="shared" si="27"/>
        <v>95.387774003161113</v>
      </c>
    </row>
    <row r="49" spans="17:49" x14ac:dyDescent="0.25">
      <c r="Q49">
        <v>42</v>
      </c>
      <c r="R49" s="132">
        <f t="shared" si="0"/>
        <v>18</v>
      </c>
      <c r="S49" s="1">
        <f t="shared" si="30"/>
        <v>5</v>
      </c>
      <c r="T49" s="1">
        <f t="shared" si="31"/>
        <v>11.78</v>
      </c>
      <c r="U49" s="133">
        <f t="shared" si="11"/>
        <v>7.6400679117147714</v>
      </c>
      <c r="V49" s="132">
        <f>IF(Calculations!$B$17=3,2,IF((S49*R49/T49)&lt;((T49*(1-(T49/R49)))/(2*Lm*fsw)),1,2))</f>
        <v>2</v>
      </c>
      <c r="W49" s="1">
        <f t="shared" si="12"/>
        <v>0.34555555555555562</v>
      </c>
      <c r="X49" s="133">
        <f t="shared" si="3"/>
        <v>0.65444444444444438</v>
      </c>
      <c r="Y49" s="132">
        <f t="shared" si="4"/>
        <v>1.6282577777777778</v>
      </c>
      <c r="Z49" s="1">
        <f t="shared" si="13"/>
        <v>8.4541968006036612</v>
      </c>
      <c r="AA49" s="1">
        <f t="shared" si="14"/>
        <v>7.6545132424072664</v>
      </c>
      <c r="AB49" s="1">
        <v>0</v>
      </c>
      <c r="AC49" s="1">
        <f t="shared" si="15"/>
        <v>0.96676095414010543</v>
      </c>
      <c r="AD49" s="133">
        <f t="shared" si="16"/>
        <v>0.96676095414010543</v>
      </c>
      <c r="AE49" s="132">
        <f t="shared" si="28"/>
        <v>2.6400679117147714</v>
      </c>
      <c r="AF49" s="1">
        <f t="shared" si="17"/>
        <v>4.4996270458063199</v>
      </c>
      <c r="AG49" s="1">
        <f t="shared" si="5"/>
        <v>0.40493287102703418</v>
      </c>
      <c r="AH49" s="1">
        <f t="shared" si="18"/>
        <v>0.4360814745978126</v>
      </c>
      <c r="AI49" s="133">
        <f t="shared" si="19"/>
        <v>0.84101434562484678</v>
      </c>
      <c r="AJ49" s="132">
        <f t="shared" si="20"/>
        <v>5</v>
      </c>
      <c r="AK49" s="1">
        <f t="shared" si="21"/>
        <v>6.192328271889056</v>
      </c>
      <c r="AL49" s="1">
        <f t="shared" si="6"/>
        <v>0.76689858853672999</v>
      </c>
      <c r="AM49" s="1">
        <f t="shared" si="22"/>
        <v>0.15427500000000002</v>
      </c>
      <c r="AN49" s="136">
        <f t="shared" si="29"/>
        <v>0.11835875520845125</v>
      </c>
      <c r="AO49" s="133">
        <f t="shared" si="23"/>
        <v>1.0395323437451813</v>
      </c>
      <c r="AP49" s="132">
        <f t="shared" si="7"/>
        <v>0.38377480300713268</v>
      </c>
      <c r="AQ49" s="137">
        <f t="shared" si="8"/>
        <v>0.96676095414010543</v>
      </c>
      <c r="AR49" s="137">
        <f t="shared" si="9"/>
        <v>4.3183054584089352E-2</v>
      </c>
      <c r="AS49" s="1">
        <f t="shared" si="10"/>
        <v>5.9279999999999999E-2</v>
      </c>
      <c r="AT49" s="133">
        <f t="shared" si="24"/>
        <v>4.7119999999999995E-2</v>
      </c>
      <c r="AU49" s="132">
        <f t="shared" si="25"/>
        <v>4.347426455241461</v>
      </c>
      <c r="AV49" s="1">
        <f t="shared" si="26"/>
        <v>90</v>
      </c>
      <c r="AW49" s="133">
        <f t="shared" si="27"/>
        <v>95.39210912413823</v>
      </c>
    </row>
    <row r="50" spans="17:49" x14ac:dyDescent="0.25">
      <c r="Q50">
        <v>43</v>
      </c>
      <c r="R50" s="132">
        <f t="shared" si="0"/>
        <v>18</v>
      </c>
      <c r="S50" s="1">
        <f t="shared" si="30"/>
        <v>5</v>
      </c>
      <c r="T50" s="1">
        <f t="shared" si="31"/>
        <v>11.786666666666667</v>
      </c>
      <c r="U50" s="133">
        <f t="shared" si="11"/>
        <v>7.6357466063348411</v>
      </c>
      <c r="V50" s="132">
        <f>IF(Calculations!$B$17=3,2,IF((S50*R50/T50)&lt;((T50*(1-(T50/R50)))/(2*Lm*fsw)),1,2))</f>
        <v>2</v>
      </c>
      <c r="W50" s="1">
        <f t="shared" si="12"/>
        <v>0.34518518518518515</v>
      </c>
      <c r="X50" s="133">
        <f t="shared" si="3"/>
        <v>0.65481481481481485</v>
      </c>
      <c r="Y50" s="132">
        <f t="shared" si="4"/>
        <v>1.627433086419753</v>
      </c>
      <c r="Z50" s="1">
        <f t="shared" si="13"/>
        <v>8.4494631495447177</v>
      </c>
      <c r="AA50" s="1">
        <f t="shared" si="14"/>
        <v>7.6501854731580536</v>
      </c>
      <c r="AB50" s="1">
        <v>0</v>
      </c>
      <c r="AC50" s="1">
        <f t="shared" si="15"/>
        <v>0.96566807326635551</v>
      </c>
      <c r="AD50" s="133">
        <f t="shared" si="16"/>
        <v>0.96566807326635551</v>
      </c>
      <c r="AE50" s="132">
        <f t="shared" si="28"/>
        <v>2.6357466063348411</v>
      </c>
      <c r="AF50" s="1">
        <f t="shared" si="17"/>
        <v>4.4946723526244421</v>
      </c>
      <c r="AG50" s="1">
        <f t="shared" si="5"/>
        <v>0.40404159114893079</v>
      </c>
      <c r="AH50" s="1">
        <f t="shared" si="18"/>
        <v>0.43583482218005359</v>
      </c>
      <c r="AI50" s="133">
        <f t="shared" si="19"/>
        <v>0.83987641332898444</v>
      </c>
      <c r="AJ50" s="132">
        <f t="shared" si="20"/>
        <v>5</v>
      </c>
      <c r="AK50" s="1">
        <f t="shared" si="21"/>
        <v>6.190578181096817</v>
      </c>
      <c r="AL50" s="1">
        <f t="shared" si="6"/>
        <v>0.76646516432543954</v>
      </c>
      <c r="AM50" s="1">
        <f t="shared" si="22"/>
        <v>0.15427500000000002</v>
      </c>
      <c r="AN50" s="136">
        <f t="shared" si="29"/>
        <v>0.11829248409362605</v>
      </c>
      <c r="AO50" s="133">
        <f t="shared" si="23"/>
        <v>1.0390326484190657</v>
      </c>
      <c r="AP50" s="132">
        <f t="shared" si="7"/>
        <v>0.3833409624178562</v>
      </c>
      <c r="AQ50" s="137">
        <f t="shared" si="8"/>
        <v>0.96566807326635551</v>
      </c>
      <c r="AR50" s="137">
        <f t="shared" si="9"/>
        <v>4.3132678931756936E-2</v>
      </c>
      <c r="AS50" s="1">
        <f t="shared" si="10"/>
        <v>5.9279999999999999E-2</v>
      </c>
      <c r="AT50" s="133">
        <f t="shared" si="24"/>
        <v>4.714666666666667E-2</v>
      </c>
      <c r="AU50" s="132">
        <f t="shared" si="25"/>
        <v>4.3431455162970414</v>
      </c>
      <c r="AV50" s="1">
        <f t="shared" si="26"/>
        <v>90</v>
      </c>
      <c r="AW50" s="133">
        <f t="shared" si="27"/>
        <v>95.396437661126328</v>
      </c>
    </row>
    <row r="51" spans="17:49" x14ac:dyDescent="0.25">
      <c r="Q51">
        <v>44</v>
      </c>
      <c r="R51" s="132">
        <f t="shared" si="0"/>
        <v>18</v>
      </c>
      <c r="S51" s="1">
        <f t="shared" si="30"/>
        <v>5</v>
      </c>
      <c r="T51" s="1">
        <f t="shared" si="31"/>
        <v>11.793333333333333</v>
      </c>
      <c r="U51" s="133">
        <f t="shared" si="11"/>
        <v>7.6314301865460719</v>
      </c>
      <c r="V51" s="132">
        <f>IF(Calculations!$B$17=3,2,IF((S51*R51/T51)&lt;((T51*(1-(T51/R51)))/(2*Lm*fsw)),1,2))</f>
        <v>2</v>
      </c>
      <c r="W51" s="1">
        <f t="shared" si="12"/>
        <v>0.3448148148148148</v>
      </c>
      <c r="X51" s="133">
        <f t="shared" si="3"/>
        <v>0.6551851851851852</v>
      </c>
      <c r="Y51" s="132">
        <f t="shared" si="4"/>
        <v>1.6266064197530863</v>
      </c>
      <c r="Z51" s="1">
        <f t="shared" si="13"/>
        <v>8.444733396422615</v>
      </c>
      <c r="AA51" s="1">
        <f t="shared" si="14"/>
        <v>7.6458625453590985</v>
      </c>
      <c r="AB51" s="1">
        <v>0</v>
      </c>
      <c r="AC51" s="1">
        <f t="shared" si="15"/>
        <v>0.96457703203166445</v>
      </c>
      <c r="AD51" s="133">
        <f t="shared" si="16"/>
        <v>0.96457703203166445</v>
      </c>
      <c r="AE51" s="132">
        <f t="shared" si="28"/>
        <v>2.6314301865460714</v>
      </c>
      <c r="AF51" s="1">
        <f t="shared" si="17"/>
        <v>4.4897219369565873</v>
      </c>
      <c r="AG51" s="1">
        <f t="shared" si="5"/>
        <v>0.40315206142378424</v>
      </c>
      <c r="AH51" s="1">
        <f t="shared" si="18"/>
        <v>0.43558844862314022</v>
      </c>
      <c r="AI51" s="133">
        <f t="shared" si="19"/>
        <v>0.83874051004692451</v>
      </c>
      <c r="AJ51" s="132">
        <f t="shared" si="20"/>
        <v>5.0000000000000009</v>
      </c>
      <c r="AK51" s="1">
        <f t="shared" si="21"/>
        <v>6.188829533226448</v>
      </c>
      <c r="AL51" s="1">
        <f t="shared" si="6"/>
        <v>0.76603221982671788</v>
      </c>
      <c r="AM51" s="1">
        <f t="shared" si="22"/>
        <v>0.15427500000000002</v>
      </c>
      <c r="AN51" s="136">
        <f t="shared" si="29"/>
        <v>0.11822626754991661</v>
      </c>
      <c r="AO51" s="133">
        <f t="shared" si="23"/>
        <v>1.0385334873766345</v>
      </c>
      <c r="AP51" s="132">
        <f t="shared" si="7"/>
        <v>0.38290785210953948</v>
      </c>
      <c r="AQ51" s="137">
        <f t="shared" si="8"/>
        <v>0.96457703203166445</v>
      </c>
      <c r="AR51" s="137">
        <f t="shared" si="9"/>
        <v>4.3082216015747028E-2</v>
      </c>
      <c r="AS51" s="1">
        <f t="shared" si="10"/>
        <v>5.9279999999999999E-2</v>
      </c>
      <c r="AT51" s="133">
        <f t="shared" si="24"/>
        <v>4.7173333333333331E-2</v>
      </c>
      <c r="AU51" s="132">
        <f t="shared" si="25"/>
        <v>4.3388714629455079</v>
      </c>
      <c r="AV51" s="1">
        <f t="shared" si="26"/>
        <v>90</v>
      </c>
      <c r="AW51" s="133">
        <f t="shared" si="27"/>
        <v>95.400759627859514</v>
      </c>
    </row>
    <row r="52" spans="17:49" x14ac:dyDescent="0.25">
      <c r="Q52">
        <v>45</v>
      </c>
      <c r="R52" s="132">
        <f t="shared" si="0"/>
        <v>18</v>
      </c>
      <c r="S52" s="1">
        <f t="shared" si="30"/>
        <v>5</v>
      </c>
      <c r="T52" s="1">
        <f t="shared" si="31"/>
        <v>11.8</v>
      </c>
      <c r="U52" s="133">
        <f t="shared" si="11"/>
        <v>7.6271186440677958</v>
      </c>
      <c r="V52" s="132">
        <f>IF(Calculations!$B$17=3,2,IF((S52*R52/T52)&lt;((T52*(1-(T52/R52)))/(2*Lm*fsw)),1,2))</f>
        <v>2</v>
      </c>
      <c r="W52" s="1">
        <f t="shared" si="12"/>
        <v>0.34444444444444444</v>
      </c>
      <c r="X52" s="133">
        <f t="shared" si="3"/>
        <v>0.65555555555555556</v>
      </c>
      <c r="Y52" s="132">
        <f t="shared" si="4"/>
        <v>1.625777777777778</v>
      </c>
      <c r="Z52" s="1">
        <f t="shared" si="13"/>
        <v>8.4400075329566846</v>
      </c>
      <c r="AA52" s="1">
        <f t="shared" si="14"/>
        <v>7.6415444507363546</v>
      </c>
      <c r="AB52" s="1">
        <v>0</v>
      </c>
      <c r="AC52" s="1">
        <f t="shared" si="15"/>
        <v>0.96348782627756302</v>
      </c>
      <c r="AD52" s="133">
        <f t="shared" si="16"/>
        <v>0.96348782627756302</v>
      </c>
      <c r="AE52" s="132">
        <f t="shared" si="28"/>
        <v>2.6271186440677963</v>
      </c>
      <c r="AF52" s="1">
        <f t="shared" si="17"/>
        <v>4.4847757894780562</v>
      </c>
      <c r="AG52" s="1">
        <f t="shared" si="5"/>
        <v>0.40226427763777045</v>
      </c>
      <c r="AH52" s="1">
        <f t="shared" si="18"/>
        <v>0.43534235345442646</v>
      </c>
      <c r="AI52" s="133">
        <f t="shared" si="19"/>
        <v>0.83760663109219691</v>
      </c>
      <c r="AJ52" s="132">
        <f t="shared" si="20"/>
        <v>4.9999999999999991</v>
      </c>
      <c r="AK52" s="1">
        <f t="shared" si="21"/>
        <v>6.1870823261607768</v>
      </c>
      <c r="AL52" s="1">
        <f t="shared" si="6"/>
        <v>0.76559975421382098</v>
      </c>
      <c r="AM52" s="1">
        <f t="shared" si="22"/>
        <v>0.15427500000000002</v>
      </c>
      <c r="AN52" s="136">
        <f t="shared" si="29"/>
        <v>0.11816010546139359</v>
      </c>
      <c r="AO52" s="133">
        <f t="shared" si="23"/>
        <v>1.0380348596752147</v>
      </c>
      <c r="AP52" s="132">
        <f t="shared" si="7"/>
        <v>0.38247547043139618</v>
      </c>
      <c r="AQ52" s="137">
        <f t="shared" si="8"/>
        <v>0.96348782627756302</v>
      </c>
      <c r="AR52" s="137">
        <f t="shared" si="9"/>
        <v>4.3031666070565085E-2</v>
      </c>
      <c r="AS52" s="1">
        <f t="shared" si="10"/>
        <v>5.9279999999999999E-2</v>
      </c>
      <c r="AT52" s="133">
        <f t="shared" si="24"/>
        <v>4.7200000000000006E-2</v>
      </c>
      <c r="AU52" s="132">
        <f t="shared" si="25"/>
        <v>4.3346042798244984</v>
      </c>
      <c r="AV52" s="1">
        <f t="shared" si="26"/>
        <v>90</v>
      </c>
      <c r="AW52" s="133">
        <f t="shared" si="27"/>
        <v>95.405075038035065</v>
      </c>
    </row>
    <row r="53" spans="17:49" x14ac:dyDescent="0.25">
      <c r="Q53">
        <v>46</v>
      </c>
      <c r="R53" s="132">
        <f t="shared" si="0"/>
        <v>18</v>
      </c>
      <c r="S53" s="1">
        <f t="shared" si="30"/>
        <v>5</v>
      </c>
      <c r="T53" s="1">
        <f t="shared" si="31"/>
        <v>11.806666666666667</v>
      </c>
      <c r="U53" s="133">
        <f t="shared" si="11"/>
        <v>7.6228119706380575</v>
      </c>
      <c r="V53" s="132">
        <f>IF(Calculations!$B$17=3,2,IF((S53*R53/T53)&lt;((T53*(1-(T53/R53)))/(2*Lm*fsw)),1,2))</f>
        <v>2</v>
      </c>
      <c r="W53" s="1">
        <f t="shared" si="12"/>
        <v>0.34407407407407409</v>
      </c>
      <c r="X53" s="133">
        <f t="shared" si="3"/>
        <v>0.65592592592592591</v>
      </c>
      <c r="Y53" s="132">
        <f t="shared" si="4"/>
        <v>1.6249471604938273</v>
      </c>
      <c r="Z53" s="1">
        <f t="shared" si="13"/>
        <v>8.4352855508849718</v>
      </c>
      <c r="AA53" s="1">
        <f t="shared" si="14"/>
        <v>7.6372311810347391</v>
      </c>
      <c r="AB53" s="1">
        <v>0</v>
      </c>
      <c r="AC53" s="1">
        <f t="shared" si="15"/>
        <v>0.96240045185739309</v>
      </c>
      <c r="AD53" s="133">
        <f t="shared" si="16"/>
        <v>0.96240045185739309</v>
      </c>
      <c r="AE53" s="132">
        <f t="shared" si="28"/>
        <v>2.6228119706380575</v>
      </c>
      <c r="AF53" s="1">
        <f t="shared" si="17"/>
        <v>4.4798339008799104</v>
      </c>
      <c r="AG53" s="1">
        <f t="shared" si="5"/>
        <v>0.40137823558945834</v>
      </c>
      <c r="AH53" s="1">
        <f t="shared" si="18"/>
        <v>0.43509653620233474</v>
      </c>
      <c r="AI53" s="133">
        <f t="shared" si="19"/>
        <v>0.83647477179179308</v>
      </c>
      <c r="AJ53" s="132">
        <f t="shared" si="20"/>
        <v>5</v>
      </c>
      <c r="AK53" s="1">
        <f t="shared" si="21"/>
        <v>6.1853365577870036</v>
      </c>
      <c r="AL53" s="1">
        <f t="shared" si="6"/>
        <v>0.76516776666192754</v>
      </c>
      <c r="AM53" s="1">
        <f t="shared" si="22"/>
        <v>0.15427500000000002</v>
      </c>
      <c r="AN53" s="136">
        <f t="shared" si="29"/>
        <v>0.11809399771238961</v>
      </c>
      <c r="AO53" s="133">
        <f t="shared" si="23"/>
        <v>1.0375367643743172</v>
      </c>
      <c r="AP53" s="132">
        <f t="shared" si="7"/>
        <v>0.38204381573732871</v>
      </c>
      <c r="AQ53" s="137">
        <f t="shared" si="8"/>
        <v>0.96240045185739309</v>
      </c>
      <c r="AR53" s="137">
        <f t="shared" si="9"/>
        <v>4.2981029331213366E-2</v>
      </c>
      <c r="AS53" s="1">
        <f t="shared" si="10"/>
        <v>5.9279999999999999E-2</v>
      </c>
      <c r="AT53" s="133">
        <f t="shared" si="24"/>
        <v>4.7226666666666667E-2</v>
      </c>
      <c r="AU53" s="132">
        <f t="shared" si="25"/>
        <v>4.3303439516161051</v>
      </c>
      <c r="AV53" s="1">
        <f t="shared" si="26"/>
        <v>90</v>
      </c>
      <c r="AW53" s="133">
        <f t="shared" si="27"/>
        <v>95.409383905313419</v>
      </c>
    </row>
    <row r="54" spans="17:49" x14ac:dyDescent="0.25">
      <c r="Q54">
        <v>47</v>
      </c>
      <c r="R54" s="132">
        <f t="shared" si="0"/>
        <v>18</v>
      </c>
      <c r="S54" s="1">
        <f t="shared" si="30"/>
        <v>5</v>
      </c>
      <c r="T54" s="1">
        <f t="shared" si="31"/>
        <v>11.813333333333333</v>
      </c>
      <c r="U54" s="133">
        <f t="shared" si="11"/>
        <v>7.6185101580135441</v>
      </c>
      <c r="V54" s="132">
        <f>IF(Calculations!$B$17=3,2,IF((S54*R54/T54)&lt;((T54*(1-(T54/R54)))/(2*Lm*fsw)),1,2))</f>
        <v>2</v>
      </c>
      <c r="W54" s="1">
        <f t="shared" si="12"/>
        <v>0.34370370370370373</v>
      </c>
      <c r="X54" s="133">
        <f t="shared" si="3"/>
        <v>0.65629629629629627</v>
      </c>
      <c r="Y54" s="132">
        <f t="shared" si="4"/>
        <v>1.6241145679012345</v>
      </c>
      <c r="Z54" s="1">
        <f t="shared" si="13"/>
        <v>8.4305674419641612</v>
      </c>
      <c r="AA54" s="1">
        <f t="shared" si="14"/>
        <v>7.6329227280180589</v>
      </c>
      <c r="AB54" s="1">
        <v>0</v>
      </c>
      <c r="AC54" s="1">
        <f t="shared" si="15"/>
        <v>0.96131490463626168</v>
      </c>
      <c r="AD54" s="133">
        <f t="shared" si="16"/>
        <v>0.96131490463626168</v>
      </c>
      <c r="AE54" s="132">
        <f t="shared" si="28"/>
        <v>2.6185101580135441</v>
      </c>
      <c r="AF54" s="1">
        <f t="shared" si="17"/>
        <v>4.4748962618688983</v>
      </c>
      <c r="AG54" s="1">
        <f t="shared" si="5"/>
        <v>0.40049393108976483</v>
      </c>
      <c r="AH54" s="1">
        <f t="shared" si="18"/>
        <v>0.43485099639635155</v>
      </c>
      <c r="AI54" s="133">
        <f t="shared" si="19"/>
        <v>0.83534492748611644</v>
      </c>
      <c r="AJ54" s="132">
        <f t="shared" si="20"/>
        <v>5</v>
      </c>
      <c r="AK54" s="1">
        <f t="shared" si="21"/>
        <v>6.1835922259966667</v>
      </c>
      <c r="AL54" s="1">
        <f t="shared" si="6"/>
        <v>0.76473625634812825</v>
      </c>
      <c r="AM54" s="1">
        <f t="shared" si="22"/>
        <v>0.15427500000000002</v>
      </c>
      <c r="AN54" s="136">
        <f t="shared" si="29"/>
        <v>0.11802794418749826</v>
      </c>
      <c r="AO54" s="133">
        <f t="shared" si="23"/>
        <v>1.0370392005356266</v>
      </c>
      <c r="AP54" s="132">
        <f t="shared" si="7"/>
        <v>0.3816128863859099</v>
      </c>
      <c r="AQ54" s="137">
        <f t="shared" si="8"/>
        <v>0.96131490463626168</v>
      </c>
      <c r="AR54" s="137">
        <f t="shared" si="9"/>
        <v>4.2930306033190112E-2</v>
      </c>
      <c r="AS54" s="1">
        <f t="shared" si="10"/>
        <v>5.9279999999999999E-2</v>
      </c>
      <c r="AT54" s="133">
        <f t="shared" si="24"/>
        <v>4.7253333333333335E-2</v>
      </c>
      <c r="AU54" s="132">
        <f t="shared" si="25"/>
        <v>4.3260904630467003</v>
      </c>
      <c r="AV54" s="1">
        <f t="shared" si="26"/>
        <v>90</v>
      </c>
      <c r="AW54" s="133">
        <f t="shared" si="27"/>
        <v>95.413686243318338</v>
      </c>
    </row>
    <row r="55" spans="17:49" x14ac:dyDescent="0.25">
      <c r="Q55">
        <v>48</v>
      </c>
      <c r="R55" s="132">
        <f t="shared" si="0"/>
        <v>18</v>
      </c>
      <c r="S55" s="1">
        <f t="shared" si="30"/>
        <v>5</v>
      </c>
      <c r="T55" s="1">
        <f t="shared" si="31"/>
        <v>11.82</v>
      </c>
      <c r="U55" s="133">
        <f t="shared" si="11"/>
        <v>7.6142131979695433</v>
      </c>
      <c r="V55" s="132">
        <f>IF(Calculations!$B$17=3,2,IF((S55*R55/T55)&lt;((T55*(1-(T55/R55)))/(2*Lm*fsw)),1,2))</f>
        <v>2</v>
      </c>
      <c r="W55" s="1">
        <f t="shared" si="12"/>
        <v>0.34333333333333327</v>
      </c>
      <c r="X55" s="133">
        <f t="shared" si="3"/>
        <v>0.65666666666666673</v>
      </c>
      <c r="Y55" s="132">
        <f t="shared" si="4"/>
        <v>1.6232799999999998</v>
      </c>
      <c r="Z55" s="1">
        <f t="shared" si="13"/>
        <v>8.425853197969543</v>
      </c>
      <c r="AA55" s="1">
        <f t="shared" si="14"/>
        <v>7.6286190834689682</v>
      </c>
      <c r="AB55" s="1">
        <v>0</v>
      </c>
      <c r="AC55" s="1">
        <f t="shared" si="15"/>
        <v>0.9602311804910042</v>
      </c>
      <c r="AD55" s="133">
        <f t="shared" si="16"/>
        <v>0.9602311804910042</v>
      </c>
      <c r="AE55" s="132">
        <f t="shared" si="28"/>
        <v>2.6142131979695429</v>
      </c>
      <c r="AF55" s="1">
        <f t="shared" si="17"/>
        <v>4.4699628631673933</v>
      </c>
      <c r="AG55" s="1">
        <f t="shared" si="5"/>
        <v>0.39961135996191283</v>
      </c>
      <c r="AH55" s="1">
        <f t="shared" si="18"/>
        <v>0.43460573356702475</v>
      </c>
      <c r="AI55" s="133">
        <f t="shared" si="19"/>
        <v>0.83421709352893758</v>
      </c>
      <c r="AJ55" s="132">
        <f t="shared" si="20"/>
        <v>5.0000000000000009</v>
      </c>
      <c r="AK55" s="1">
        <f t="shared" si="21"/>
        <v>6.1818493286856544</v>
      </c>
      <c r="AL55" s="1">
        <f t="shared" si="6"/>
        <v>0.76430522245142551</v>
      </c>
      <c r="AM55" s="1">
        <f t="shared" si="22"/>
        <v>0.15427500000000002</v>
      </c>
      <c r="AN55" s="136">
        <f t="shared" si="29"/>
        <v>0.11796194477157361</v>
      </c>
      <c r="AO55" s="133">
        <f t="shared" si="23"/>
        <v>1.0365421672229991</v>
      </c>
      <c r="AP55" s="132">
        <f t="shared" si="7"/>
        <v>0.38118268074036832</v>
      </c>
      <c r="AQ55" s="137">
        <f t="shared" si="8"/>
        <v>0.9602311804910042</v>
      </c>
      <c r="AR55" s="137">
        <f t="shared" si="9"/>
        <v>4.287949641248931E-2</v>
      </c>
      <c r="AS55" s="1">
        <f t="shared" si="10"/>
        <v>5.9279999999999999E-2</v>
      </c>
      <c r="AT55" s="133">
        <f t="shared" si="24"/>
        <v>4.7280000000000003E-2</v>
      </c>
      <c r="AU55" s="132">
        <f t="shared" si="25"/>
        <v>4.3218437988868024</v>
      </c>
      <c r="AV55" s="1">
        <f t="shared" si="26"/>
        <v>90</v>
      </c>
      <c r="AW55" s="133">
        <f t="shared" si="27"/>
        <v>95.417982065637048</v>
      </c>
    </row>
    <row r="56" spans="17:49" x14ac:dyDescent="0.25">
      <c r="Q56">
        <v>49</v>
      </c>
      <c r="R56" s="132">
        <f t="shared" si="0"/>
        <v>18</v>
      </c>
      <c r="S56" s="1">
        <f t="shared" si="30"/>
        <v>5</v>
      </c>
      <c r="T56" s="1">
        <f t="shared" si="31"/>
        <v>11.826666666666666</v>
      </c>
      <c r="U56" s="133">
        <f t="shared" si="11"/>
        <v>7.6099210822998877</v>
      </c>
      <c r="V56" s="132">
        <f>IF(Calculations!$B$17=3,2,IF((S56*R56/T56)&lt;((T56*(1-(T56/R56)))/(2*Lm*fsw)),1,2))</f>
        <v>2</v>
      </c>
      <c r="W56" s="1">
        <f t="shared" si="12"/>
        <v>0.34296296296296302</v>
      </c>
      <c r="X56" s="133">
        <f t="shared" si="3"/>
        <v>0.65703703703703698</v>
      </c>
      <c r="Y56" s="132">
        <f t="shared" si="4"/>
        <v>1.6224434567901238</v>
      </c>
      <c r="Z56" s="1">
        <f t="shared" si="13"/>
        <v>8.4211428106949491</v>
      </c>
      <c r="AA56" s="1">
        <f t="shared" si="14"/>
        <v>7.6243202391889149</v>
      </c>
      <c r="AB56" s="1">
        <v>0</v>
      </c>
      <c r="AC56" s="1">
        <f t="shared" si="15"/>
        <v>0.95914927531014427</v>
      </c>
      <c r="AD56" s="133">
        <f t="shared" si="16"/>
        <v>0.95914927531014427</v>
      </c>
      <c r="AE56" s="132">
        <f t="shared" si="28"/>
        <v>2.6099210822998877</v>
      </c>
      <c r="AF56" s="1">
        <f t="shared" si="17"/>
        <v>4.4650336955133314</v>
      </c>
      <c r="AG56" s="1">
        <f t="shared" si="5"/>
        <v>0.39873051804138876</v>
      </c>
      <c r="AH56" s="1">
        <f t="shared" si="18"/>
        <v>0.43436074724596108</v>
      </c>
      <c r="AI56" s="133">
        <f t="shared" si="19"/>
        <v>0.83309126528734989</v>
      </c>
      <c r="AJ56" s="132">
        <f t="shared" si="20"/>
        <v>5</v>
      </c>
      <c r="AK56" s="1">
        <f t="shared" si="21"/>
        <v>6.1801078637541806</v>
      </c>
      <c r="AL56" s="1">
        <f t="shared" si="6"/>
        <v>0.76387466415272531</v>
      </c>
      <c r="AM56" s="1">
        <f t="shared" si="22"/>
        <v>0.15427500000000002</v>
      </c>
      <c r="AN56" s="136">
        <f t="shared" si="29"/>
        <v>0.11789599934972929</v>
      </c>
      <c r="AO56" s="133">
        <f t="shared" si="23"/>
        <v>1.0360456635024546</v>
      </c>
      <c r="AP56" s="132">
        <f t="shared" si="7"/>
        <v>0.38075319716857237</v>
      </c>
      <c r="AQ56" s="137">
        <f t="shared" si="8"/>
        <v>0.95914927531014427</v>
      </c>
      <c r="AR56" s="137">
        <f t="shared" si="9"/>
        <v>4.2828600705599927E-2</v>
      </c>
      <c r="AS56" s="1">
        <f t="shared" si="10"/>
        <v>5.9279999999999999E-2</v>
      </c>
      <c r="AT56" s="133">
        <f t="shared" si="24"/>
        <v>4.7306666666666664E-2</v>
      </c>
      <c r="AU56" s="132">
        <f t="shared" si="25"/>
        <v>4.3176039439509326</v>
      </c>
      <c r="AV56" s="1">
        <f t="shared" si="26"/>
        <v>90</v>
      </c>
      <c r="AW56" s="133">
        <f t="shared" si="27"/>
        <v>95.422271385820295</v>
      </c>
    </row>
    <row r="57" spans="17:49" x14ac:dyDescent="0.25">
      <c r="Q57">
        <v>50</v>
      </c>
      <c r="R57" s="132">
        <f t="shared" si="0"/>
        <v>18</v>
      </c>
      <c r="S57" s="1">
        <f t="shared" si="30"/>
        <v>5</v>
      </c>
      <c r="T57" s="1">
        <f t="shared" si="31"/>
        <v>11.833333333333334</v>
      </c>
      <c r="U57" s="133">
        <f t="shared" si="11"/>
        <v>7.605633802816901</v>
      </c>
      <c r="V57" s="132">
        <f>IF(Calculations!$B$17=3,2,IF((S57*R57/T57)&lt;((T57*(1-(T57/R57)))/(2*Lm*fsw)),1,2))</f>
        <v>2</v>
      </c>
      <c r="W57" s="1">
        <f t="shared" si="12"/>
        <v>0.34259259259259256</v>
      </c>
      <c r="X57" s="133">
        <f t="shared" si="3"/>
        <v>0.65740740740740744</v>
      </c>
      <c r="Y57" s="132">
        <f t="shared" si="4"/>
        <v>1.6216049382716047</v>
      </c>
      <c r="Z57" s="1">
        <f t="shared" si="13"/>
        <v>8.4164362719527031</v>
      </c>
      <c r="AA57" s="1">
        <f t="shared" si="14"/>
        <v>7.6200261869980901</v>
      </c>
      <c r="AB57" s="1">
        <v>0</v>
      </c>
      <c r="AC57" s="1">
        <f t="shared" si="15"/>
        <v>0.95806918499385485</v>
      </c>
      <c r="AD57" s="133">
        <f t="shared" si="16"/>
        <v>0.95806918499385485</v>
      </c>
      <c r="AE57" s="132">
        <f t="shared" si="28"/>
        <v>2.605633802816901</v>
      </c>
      <c r="AF57" s="1">
        <f t="shared" si="17"/>
        <v>4.4601087496601428</v>
      </c>
      <c r="AG57" s="1">
        <f t="shared" si="5"/>
        <v>0.39785140117589929</v>
      </c>
      <c r="AH57" s="1">
        <f t="shared" si="18"/>
        <v>0.43411603696582246</v>
      </c>
      <c r="AI57" s="133">
        <f t="shared" si="19"/>
        <v>0.83196743814172169</v>
      </c>
      <c r="AJ57" s="132">
        <f t="shared" si="20"/>
        <v>5</v>
      </c>
      <c r="AK57" s="1">
        <f t="shared" si="21"/>
        <v>6.1783678291067847</v>
      </c>
      <c r="AL57" s="1">
        <f t="shared" si="6"/>
        <v>0.76344458063483378</v>
      </c>
      <c r="AM57" s="1">
        <f t="shared" si="22"/>
        <v>0.15427500000000002</v>
      </c>
      <c r="AN57" s="136">
        <f t="shared" si="29"/>
        <v>0.11783010780733784</v>
      </c>
      <c r="AO57" s="133">
        <f t="shared" si="23"/>
        <v>1.0355496884421718</v>
      </c>
      <c r="AP57" s="132">
        <f t="shared" si="7"/>
        <v>0.38032443404301502</v>
      </c>
      <c r="AQ57" s="137">
        <f t="shared" si="8"/>
        <v>0.95806918499385485</v>
      </c>
      <c r="AR57" s="137">
        <f t="shared" si="9"/>
        <v>4.2777619149505411E-2</v>
      </c>
      <c r="AS57" s="1">
        <f t="shared" si="10"/>
        <v>5.9279999999999999E-2</v>
      </c>
      <c r="AT57" s="133">
        <f t="shared" si="24"/>
        <v>4.7333333333333338E-2</v>
      </c>
      <c r="AU57" s="132">
        <f t="shared" si="25"/>
        <v>4.3133708830974573</v>
      </c>
      <c r="AV57" s="1">
        <f t="shared" si="26"/>
        <v>90</v>
      </c>
      <c r="AW57" s="133">
        <f t="shared" si="27"/>
        <v>95.42655421738246</v>
      </c>
    </row>
    <row r="58" spans="17:49" x14ac:dyDescent="0.25">
      <c r="Q58">
        <v>51</v>
      </c>
      <c r="R58" s="132">
        <f t="shared" si="0"/>
        <v>18</v>
      </c>
      <c r="S58" s="1">
        <f t="shared" si="30"/>
        <v>5</v>
      </c>
      <c r="T58" s="1">
        <f t="shared" si="31"/>
        <v>11.84</v>
      </c>
      <c r="U58" s="133">
        <f t="shared" si="11"/>
        <v>7.6013513513513518</v>
      </c>
      <c r="V58" s="132">
        <f>IF(Calculations!$B$17=3,2,IF((S58*R58/T58)&lt;((T58*(1-(T58/R58)))/(2*Lm*fsw)),1,2))</f>
        <v>2</v>
      </c>
      <c r="W58" s="1">
        <f t="shared" si="12"/>
        <v>0.34222222222222221</v>
      </c>
      <c r="X58" s="133">
        <f t="shared" si="3"/>
        <v>0.65777777777777779</v>
      </c>
      <c r="Y58" s="132">
        <f t="shared" si="4"/>
        <v>1.6207644444444445</v>
      </c>
      <c r="Z58" s="1">
        <f t="shared" si="13"/>
        <v>8.4117335735735743</v>
      </c>
      <c r="AA58" s="1">
        <f t="shared" si="14"/>
        <v>7.6157369187353741</v>
      </c>
      <c r="AB58" s="1">
        <v>0</v>
      </c>
      <c r="AC58" s="1">
        <f t="shared" si="15"/>
        <v>0.95699090545391796</v>
      </c>
      <c r="AD58" s="133">
        <f t="shared" si="16"/>
        <v>0.95699090545391796</v>
      </c>
      <c r="AE58" s="132">
        <f t="shared" si="28"/>
        <v>2.6013513513513513</v>
      </c>
      <c r="AF58" s="1">
        <f t="shared" si="17"/>
        <v>4.4551880163766882</v>
      </c>
      <c r="AG58" s="1">
        <f t="shared" si="5"/>
        <v>0.39697400522532894</v>
      </c>
      <c r="AH58" s="1">
        <f t="shared" si="18"/>
        <v>0.43387160226032367</v>
      </c>
      <c r="AI58" s="133">
        <f t="shared" si="19"/>
        <v>0.83084560748565262</v>
      </c>
      <c r="AJ58" s="132">
        <f t="shared" si="20"/>
        <v>5</v>
      </c>
      <c r="AK58" s="1">
        <f t="shared" si="21"/>
        <v>6.1766292226523136</v>
      </c>
      <c r="AL58" s="1">
        <f t="shared" si="6"/>
        <v>0.76301497108245042</v>
      </c>
      <c r="AM58" s="1">
        <f t="shared" si="22"/>
        <v>0.15427500000000002</v>
      </c>
      <c r="AN58" s="136">
        <f t="shared" si="29"/>
        <v>0.11776427003003004</v>
      </c>
      <c r="AO58" s="133">
        <f t="shared" si="23"/>
        <v>1.0350542411124806</v>
      </c>
      <c r="AP58" s="132">
        <f t="shared" si="7"/>
        <v>0.3798963897407977</v>
      </c>
      <c r="AQ58" s="137">
        <f t="shared" si="8"/>
        <v>0.95699090545391796</v>
      </c>
      <c r="AR58" s="137">
        <f t="shared" si="9"/>
        <v>4.2726551981683639E-2</v>
      </c>
      <c r="AS58" s="1">
        <f t="shared" si="10"/>
        <v>5.9279999999999999E-2</v>
      </c>
      <c r="AT58" s="133">
        <f t="shared" si="24"/>
        <v>4.7359999999999999E-2</v>
      </c>
      <c r="AU58" s="132">
        <f t="shared" si="25"/>
        <v>4.30914460122845</v>
      </c>
      <c r="AV58" s="1">
        <f t="shared" si="26"/>
        <v>90</v>
      </c>
      <c r="AW58" s="133">
        <f t="shared" si="27"/>
        <v>95.430830573801728</v>
      </c>
    </row>
    <row r="59" spans="17:49" x14ac:dyDescent="0.25">
      <c r="Q59">
        <v>52</v>
      </c>
      <c r="R59" s="132">
        <f t="shared" si="0"/>
        <v>18</v>
      </c>
      <c r="S59" s="1">
        <f t="shared" si="30"/>
        <v>5</v>
      </c>
      <c r="T59" s="1">
        <f t="shared" si="31"/>
        <v>11.846666666666668</v>
      </c>
      <c r="U59" s="133">
        <f t="shared" si="11"/>
        <v>7.597073719752391</v>
      </c>
      <c r="V59" s="132">
        <f>IF(Calculations!$B$17=3,2,IF((S59*R59/T59)&lt;((T59*(1-(T59/R59)))/(2*Lm*fsw)),1,2))</f>
        <v>2</v>
      </c>
      <c r="W59" s="1">
        <f t="shared" si="12"/>
        <v>0.34185185185185185</v>
      </c>
      <c r="X59" s="133">
        <f t="shared" si="3"/>
        <v>0.65814814814814815</v>
      </c>
      <c r="Y59" s="132">
        <f t="shared" si="4"/>
        <v>1.619921975308642</v>
      </c>
      <c r="Z59" s="1">
        <f t="shared" si="13"/>
        <v>8.4070347074067122</v>
      </c>
      <c r="AA59" s="1">
        <f t="shared" si="14"/>
        <v>7.6114524262582819</v>
      </c>
      <c r="AB59" s="1">
        <v>0</v>
      </c>
      <c r="AC59" s="1">
        <f t="shared" si="15"/>
        <v>0.95591443261368603</v>
      </c>
      <c r="AD59" s="133">
        <f t="shared" si="16"/>
        <v>0.95591443261368603</v>
      </c>
      <c r="AE59" s="132">
        <f t="shared" si="28"/>
        <v>2.5970737197523914</v>
      </c>
      <c r="AF59" s="1">
        <f t="shared" si="17"/>
        <v>4.4502714864471917</v>
      </c>
      <c r="AG59" s="1">
        <f t="shared" si="5"/>
        <v>0.39609832606169798</v>
      </c>
      <c r="AH59" s="1">
        <f t="shared" si="18"/>
        <v>0.43362744266422898</v>
      </c>
      <c r="AI59" s="133">
        <f t="shared" si="19"/>
        <v>0.82972576872592696</v>
      </c>
      <c r="AJ59" s="132">
        <f t="shared" si="20"/>
        <v>4.9999999999999991</v>
      </c>
      <c r="AK59" s="1">
        <f t="shared" si="21"/>
        <v>6.1748920423039131</v>
      </c>
      <c r="AL59" s="1">
        <f t="shared" si="6"/>
        <v>0.7625858346821639</v>
      </c>
      <c r="AM59" s="1">
        <f t="shared" si="22"/>
        <v>0.15427500000000002</v>
      </c>
      <c r="AN59" s="136">
        <f t="shared" si="29"/>
        <v>0.11769848590369397</v>
      </c>
      <c r="AO59" s="133">
        <f t="shared" si="23"/>
        <v>1.0345593205858579</v>
      </c>
      <c r="AP59" s="132">
        <f t="shared" si="7"/>
        <v>0.37946906264361469</v>
      </c>
      <c r="AQ59" s="137">
        <f t="shared" si="8"/>
        <v>0.95591443261368603</v>
      </c>
      <c r="AR59" s="137">
        <f t="shared" si="9"/>
        <v>4.2675399440105892E-2</v>
      </c>
      <c r="AS59" s="1">
        <f t="shared" si="10"/>
        <v>5.9279999999999999E-2</v>
      </c>
      <c r="AT59" s="133">
        <f t="shared" si="24"/>
        <v>4.7386666666666674E-2</v>
      </c>
      <c r="AU59" s="132">
        <f t="shared" si="25"/>
        <v>4.304925083289544</v>
      </c>
      <c r="AV59" s="1">
        <f t="shared" si="26"/>
        <v>90</v>
      </c>
      <c r="AW59" s="133">
        <f t="shared" si="27"/>
        <v>95.435100468520105</v>
      </c>
    </row>
    <row r="60" spans="17:49" x14ac:dyDescent="0.25">
      <c r="Q60">
        <v>53</v>
      </c>
      <c r="R60" s="132">
        <f t="shared" si="0"/>
        <v>18</v>
      </c>
      <c r="S60" s="1">
        <f t="shared" si="30"/>
        <v>5</v>
      </c>
      <c r="T60" s="1">
        <f t="shared" si="31"/>
        <v>11.853333333333333</v>
      </c>
      <c r="U60" s="133">
        <f t="shared" si="11"/>
        <v>7.5928008998875143</v>
      </c>
      <c r="V60" s="132">
        <f>IF(Calculations!$B$17=3,2,IF((S60*R60/T60)&lt;((T60*(1-(T60/R60)))/(2*Lm*fsw)),1,2))</f>
        <v>2</v>
      </c>
      <c r="W60" s="1">
        <f t="shared" si="12"/>
        <v>0.3414814814814815</v>
      </c>
      <c r="X60" s="133">
        <f t="shared" si="3"/>
        <v>0.6585185185185185</v>
      </c>
      <c r="Y60" s="132">
        <f t="shared" si="4"/>
        <v>1.6190775308641974</v>
      </c>
      <c r="Z60" s="1">
        <f t="shared" si="13"/>
        <v>8.4023396653196123</v>
      </c>
      <c r="AA60" s="1">
        <f t="shared" si="14"/>
        <v>7.6071727014429236</v>
      </c>
      <c r="AB60" s="1">
        <v>0</v>
      </c>
      <c r="AC60" s="1">
        <f t="shared" si="15"/>
        <v>0.95483976240804413</v>
      </c>
      <c r="AD60" s="133">
        <f t="shared" si="16"/>
        <v>0.95483976240804413</v>
      </c>
      <c r="AE60" s="132">
        <f t="shared" si="28"/>
        <v>2.5928008998875143</v>
      </c>
      <c r="AF60" s="1">
        <f t="shared" si="17"/>
        <v>4.4453591506711847</v>
      </c>
      <c r="AG60" s="1">
        <f t="shared" si="5"/>
        <v>0.39522435956912078</v>
      </c>
      <c r="AH60" s="1">
        <f t="shared" si="18"/>
        <v>0.4333835577133493</v>
      </c>
      <c r="AI60" s="133">
        <f t="shared" si="19"/>
        <v>0.82860791728247007</v>
      </c>
      <c r="AJ60" s="132">
        <f t="shared" si="20"/>
        <v>5</v>
      </c>
      <c r="AK60" s="1">
        <f t="shared" si="21"/>
        <v>6.1731562859790277</v>
      </c>
      <c r="AL60" s="1">
        <f t="shared" si="6"/>
        <v>0.7621571706224477</v>
      </c>
      <c r="AM60" s="1">
        <f t="shared" si="22"/>
        <v>0.15427500000000002</v>
      </c>
      <c r="AN60" s="136">
        <f t="shared" si="29"/>
        <v>0.11763275531447458</v>
      </c>
      <c r="AO60" s="133">
        <f t="shared" si="23"/>
        <v>1.0340649259369223</v>
      </c>
      <c r="AP60" s="132">
        <f t="shared" si="7"/>
        <v>0.37904245113773866</v>
      </c>
      <c r="AQ60" s="137">
        <f t="shared" si="8"/>
        <v>0.95483976240804413</v>
      </c>
      <c r="AR60" s="137">
        <f t="shared" si="9"/>
        <v>4.2624161763236447E-2</v>
      </c>
      <c r="AS60" s="1">
        <f t="shared" si="10"/>
        <v>5.9279999999999999E-2</v>
      </c>
      <c r="AT60" s="133">
        <f t="shared" si="24"/>
        <v>4.7413333333333335E-2</v>
      </c>
      <c r="AU60" s="132">
        <f t="shared" si="25"/>
        <v>4.3007123142697896</v>
      </c>
      <c r="AV60" s="1">
        <f t="shared" si="26"/>
        <v>90</v>
      </c>
      <c r="AW60" s="133">
        <f t="shared" si="27"/>
        <v>95.439363914943627</v>
      </c>
    </row>
    <row r="61" spans="17:49" x14ac:dyDescent="0.25">
      <c r="Q61">
        <v>54</v>
      </c>
      <c r="R61" s="132">
        <f t="shared" si="0"/>
        <v>18</v>
      </c>
      <c r="S61" s="1">
        <f t="shared" si="30"/>
        <v>5</v>
      </c>
      <c r="T61" s="1">
        <f t="shared" si="31"/>
        <v>11.86</v>
      </c>
      <c r="U61" s="133">
        <f t="shared" si="11"/>
        <v>7.5885328836424959</v>
      </c>
      <c r="V61" s="132">
        <f>IF(Calculations!$B$17=3,2,IF((S61*R61/T61)&lt;((T61*(1-(T61/R61)))/(2*Lm*fsw)),1,2))</f>
        <v>2</v>
      </c>
      <c r="W61" s="1">
        <f t="shared" si="12"/>
        <v>0.34111111111111114</v>
      </c>
      <c r="X61" s="133">
        <f t="shared" si="3"/>
        <v>0.65888888888888886</v>
      </c>
      <c r="Y61" s="132">
        <f t="shared" si="4"/>
        <v>1.6182311111111112</v>
      </c>
      <c r="Z61" s="1">
        <f t="shared" si="13"/>
        <v>8.3976484391980506</v>
      </c>
      <c r="AA61" s="1">
        <f t="shared" si="14"/>
        <v>7.6028977361839356</v>
      </c>
      <c r="AB61" s="1">
        <v>0</v>
      </c>
      <c r="AC61" s="1">
        <f t="shared" si="15"/>
        <v>0.9537668907833684</v>
      </c>
      <c r="AD61" s="133">
        <f t="shared" si="16"/>
        <v>0.9537668907833684</v>
      </c>
      <c r="AE61" s="132">
        <f t="shared" si="28"/>
        <v>2.5885328836424959</v>
      </c>
      <c r="AF61" s="1">
        <f t="shared" si="17"/>
        <v>4.4404509998634323</v>
      </c>
      <c r="AG61" s="1">
        <f t="shared" si="5"/>
        <v>0.39435210164376311</v>
      </c>
      <c r="AH61" s="1">
        <f t="shared" si="18"/>
        <v>0.43313994694453906</v>
      </c>
      <c r="AI61" s="133">
        <f t="shared" si="19"/>
        <v>0.82749204858830216</v>
      </c>
      <c r="AJ61" s="132">
        <f t="shared" si="20"/>
        <v>5</v>
      </c>
      <c r="AK61" s="1">
        <f t="shared" si="21"/>
        <v>6.1714219515993767</v>
      </c>
      <c r="AL61" s="1">
        <f t="shared" si="6"/>
        <v>0.76172897809365325</v>
      </c>
      <c r="AM61" s="1">
        <f t="shared" si="22"/>
        <v>0.15427500000000002</v>
      </c>
      <c r="AN61" s="136">
        <f t="shared" si="29"/>
        <v>0.11756707814877271</v>
      </c>
      <c r="AO61" s="133">
        <f t="shared" si="23"/>
        <v>1.0335710562424261</v>
      </c>
      <c r="AP61" s="132">
        <f t="shared" si="7"/>
        <v>0.37861655361400376</v>
      </c>
      <c r="AQ61" s="137">
        <f t="shared" si="8"/>
        <v>0.9537668907833684</v>
      </c>
      <c r="AR61" s="137">
        <f t="shared" si="9"/>
        <v>4.2572839190032741E-2</v>
      </c>
      <c r="AS61" s="1">
        <f t="shared" si="10"/>
        <v>5.9279999999999999E-2</v>
      </c>
      <c r="AT61" s="133">
        <f t="shared" si="24"/>
        <v>4.7439999999999996E-2</v>
      </c>
      <c r="AU61" s="132">
        <f t="shared" si="25"/>
        <v>4.2965062792015019</v>
      </c>
      <c r="AV61" s="1">
        <f t="shared" si="26"/>
        <v>90</v>
      </c>
      <c r="AW61" s="133">
        <f t="shared" si="27"/>
        <v>95.44362092644235</v>
      </c>
    </row>
    <row r="62" spans="17:49" x14ac:dyDescent="0.25">
      <c r="Q62">
        <v>55</v>
      </c>
      <c r="R62" s="132">
        <f t="shared" si="0"/>
        <v>18</v>
      </c>
      <c r="S62" s="1">
        <f t="shared" si="30"/>
        <v>5</v>
      </c>
      <c r="T62" s="1">
        <f t="shared" si="31"/>
        <v>11.866666666666667</v>
      </c>
      <c r="U62" s="133">
        <f t="shared" si="11"/>
        <v>7.584269662921348</v>
      </c>
      <c r="V62" s="132">
        <f>IF(Calculations!$B$17=3,2,IF((S62*R62/T62)&lt;((T62*(1-(T62/R62)))/(2*Lm*fsw)),1,2))</f>
        <v>2</v>
      </c>
      <c r="W62" s="1">
        <f t="shared" si="12"/>
        <v>0.34074074074074068</v>
      </c>
      <c r="X62" s="133">
        <f t="shared" si="3"/>
        <v>0.65925925925925932</v>
      </c>
      <c r="Y62" s="132">
        <f t="shared" si="4"/>
        <v>1.6173827160493826</v>
      </c>
      <c r="Z62" s="1">
        <f t="shared" si="13"/>
        <v>8.3929610209460392</v>
      </c>
      <c r="AA62" s="1">
        <f t="shared" si="14"/>
        <v>7.5986275223944473</v>
      </c>
      <c r="AB62" s="1">
        <v>0</v>
      </c>
      <c r="AC62" s="1">
        <f t="shared" si="15"/>
        <v>0.95269581369749123</v>
      </c>
      <c r="AD62" s="133">
        <f t="shared" si="16"/>
        <v>0.95269581369749123</v>
      </c>
      <c r="AE62" s="132">
        <f t="shared" si="28"/>
        <v>2.5842696629213475</v>
      </c>
      <c r="AF62" s="1">
        <f t="shared" si="17"/>
        <v>4.4355470248538733</v>
      </c>
      <c r="AG62" s="1">
        <f t="shared" si="5"/>
        <v>0.39348154819380093</v>
      </c>
      <c r="AH62" s="1">
        <f t="shared" si="18"/>
        <v>0.43289660989569373</v>
      </c>
      <c r="AI62" s="133">
        <f t="shared" si="19"/>
        <v>0.82637815808949466</v>
      </c>
      <c r="AJ62" s="132">
        <f t="shared" si="20"/>
        <v>5</v>
      </c>
      <c r="AK62" s="1">
        <f t="shared" si="21"/>
        <v>6.1696890370909561</v>
      </c>
      <c r="AL62" s="1">
        <f t="shared" si="6"/>
        <v>0.7613012562880066</v>
      </c>
      <c r="AM62" s="1">
        <f t="shared" si="22"/>
        <v>0.15427500000000002</v>
      </c>
      <c r="AN62" s="136">
        <f t="shared" si="29"/>
        <v>0.11750145429324454</v>
      </c>
      <c r="AO62" s="133">
        <f t="shared" si="23"/>
        <v>1.0330777105812512</v>
      </c>
      <c r="AP62" s="132">
        <f t="shared" si="7"/>
        <v>0.37819136846779194</v>
      </c>
      <c r="AQ62" s="137">
        <f t="shared" si="8"/>
        <v>0.95269581369749123</v>
      </c>
      <c r="AR62" s="137">
        <f t="shared" si="9"/>
        <v>4.2521431959943776E-2</v>
      </c>
      <c r="AS62" s="1">
        <f t="shared" si="10"/>
        <v>5.9279999999999999E-2</v>
      </c>
      <c r="AT62" s="133">
        <f t="shared" si="24"/>
        <v>4.7466666666666671E-2</v>
      </c>
      <c r="AU62" s="132">
        <f t="shared" si="25"/>
        <v>4.2923069631601312</v>
      </c>
      <c r="AV62" s="1">
        <f t="shared" si="26"/>
        <v>90</v>
      </c>
      <c r="AW62" s="133">
        <f t="shared" si="27"/>
        <v>95.447871516350617</v>
      </c>
    </row>
    <row r="63" spans="17:49" x14ac:dyDescent="0.25">
      <c r="Q63">
        <v>56</v>
      </c>
      <c r="R63" s="132">
        <f t="shared" si="0"/>
        <v>18</v>
      </c>
      <c r="S63" s="1">
        <f t="shared" si="30"/>
        <v>5</v>
      </c>
      <c r="T63" s="1">
        <f t="shared" si="31"/>
        <v>11.873333333333333</v>
      </c>
      <c r="U63" s="133">
        <f t="shared" si="11"/>
        <v>7.5800112296462663</v>
      </c>
      <c r="V63" s="132">
        <f>IF(Calculations!$B$17=3,2,IF((S63*R63/T63)&lt;((T63*(1-(T63/R63)))/(2*Lm*fsw)),1,2))</f>
        <v>2</v>
      </c>
      <c r="W63" s="1">
        <f t="shared" si="12"/>
        <v>0.34037037037037043</v>
      </c>
      <c r="X63" s="133">
        <f t="shared" si="3"/>
        <v>0.65962962962962957</v>
      </c>
      <c r="Y63" s="132">
        <f t="shared" si="4"/>
        <v>1.6165323456790126</v>
      </c>
      <c r="Z63" s="1">
        <f t="shared" si="13"/>
        <v>8.3882774024857731</v>
      </c>
      <c r="AA63" s="1">
        <f t="shared" si="14"/>
        <v>7.5943620520060175</v>
      </c>
      <c r="AB63" s="1">
        <v>0</v>
      </c>
      <c r="AC63" s="1">
        <f t="shared" si="15"/>
        <v>0.95162652711965934</v>
      </c>
      <c r="AD63" s="133">
        <f t="shared" si="16"/>
        <v>0.95162652711965934</v>
      </c>
      <c r="AE63" s="132">
        <f t="shared" si="28"/>
        <v>2.5800112296462667</v>
      </c>
      <c r="AF63" s="1">
        <f t="shared" si="17"/>
        <v>4.430647216487559</v>
      </c>
      <c r="AG63" s="1">
        <f t="shared" si="5"/>
        <v>0.39261269513937913</v>
      </c>
      <c r="AH63" s="1">
        <f t="shared" si="18"/>
        <v>0.4326535461057468</v>
      </c>
      <c r="AI63" s="133">
        <f t="shared" si="19"/>
        <v>0.82526624124512593</v>
      </c>
      <c r="AJ63" s="132">
        <f t="shared" si="20"/>
        <v>5</v>
      </c>
      <c r="AK63" s="1">
        <f t="shared" si="21"/>
        <v>6.1679575403840197</v>
      </c>
      <c r="AL63" s="1">
        <f t="shared" si="6"/>
        <v>0.76087400439960184</v>
      </c>
      <c r="AM63" s="1">
        <f t="shared" si="22"/>
        <v>0.15427500000000002</v>
      </c>
      <c r="AN63" s="136">
        <f t="shared" si="29"/>
        <v>0.11743588363480083</v>
      </c>
      <c r="AO63" s="133">
        <f t="shared" si="23"/>
        <v>1.0325848880344026</v>
      </c>
      <c r="AP63" s="132">
        <f t="shared" si="7"/>
        <v>0.3777668940990162</v>
      </c>
      <c r="AQ63" s="137">
        <f t="shared" si="8"/>
        <v>0.95162652711965934</v>
      </c>
      <c r="AR63" s="137">
        <f t="shared" si="9"/>
        <v>4.2469940312910355E-2</v>
      </c>
      <c r="AS63" s="1">
        <f t="shared" si="10"/>
        <v>5.9279999999999999E-2</v>
      </c>
      <c r="AT63" s="133">
        <f t="shared" si="24"/>
        <v>4.7493333333333332E-2</v>
      </c>
      <c r="AU63" s="132">
        <f t="shared" si="25"/>
        <v>4.2881143512641078</v>
      </c>
      <c r="AV63" s="1">
        <f t="shared" si="26"/>
        <v>90</v>
      </c>
      <c r="AW63" s="133">
        <f t="shared" si="27"/>
        <v>95.452115697966946</v>
      </c>
    </row>
    <row r="64" spans="17:49" x14ac:dyDescent="0.25">
      <c r="Q64">
        <v>57</v>
      </c>
      <c r="R64" s="132">
        <f t="shared" si="0"/>
        <v>18</v>
      </c>
      <c r="S64" s="1">
        <f t="shared" si="30"/>
        <v>5</v>
      </c>
      <c r="T64" s="1">
        <f t="shared" si="31"/>
        <v>11.88</v>
      </c>
      <c r="U64" s="133">
        <f t="shared" si="11"/>
        <v>7.5757575757575752</v>
      </c>
      <c r="V64" s="132">
        <f>IF(Calculations!$B$17=3,2,IF((S64*R64/T64)&lt;((T64*(1-(T64/R64)))/(2*Lm*fsw)),1,2))</f>
        <v>2</v>
      </c>
      <c r="W64" s="1">
        <f t="shared" si="12"/>
        <v>0.33999999999999997</v>
      </c>
      <c r="X64" s="133">
        <f t="shared" si="3"/>
        <v>0.66</v>
      </c>
      <c r="Y64" s="132">
        <f t="shared" si="4"/>
        <v>1.61568</v>
      </c>
      <c r="Z64" s="1">
        <f t="shared" si="13"/>
        <v>8.3835975757575749</v>
      </c>
      <c r="AA64" s="1">
        <f t="shared" si="14"/>
        <v>7.590101316968588</v>
      </c>
      <c r="AB64" s="1">
        <v>0</v>
      </c>
      <c r="AC64" s="1">
        <f t="shared" si="15"/>
        <v>0.95055902703049688</v>
      </c>
      <c r="AD64" s="133">
        <f t="shared" si="16"/>
        <v>0.95055902703049688</v>
      </c>
      <c r="AE64" s="132">
        <f t="shared" si="28"/>
        <v>2.5757575757575752</v>
      </c>
      <c r="AF64" s="1">
        <f t="shared" si="17"/>
        <v>4.4257515656245792</v>
      </c>
      <c r="AG64" s="1">
        <f t="shared" si="5"/>
        <v>0.39174553841256832</v>
      </c>
      <c r="AH64" s="1">
        <f t="shared" si="18"/>
        <v>0.43241075511466598</v>
      </c>
      <c r="AI64" s="133">
        <f t="shared" si="19"/>
        <v>0.8241562935272343</v>
      </c>
      <c r="AJ64" s="132">
        <f t="shared" si="20"/>
        <v>5</v>
      </c>
      <c r="AK64" s="1">
        <f t="shared" si="21"/>
        <v>6.1662274594130784</v>
      </c>
      <c r="AL64" s="1">
        <f t="shared" si="6"/>
        <v>0.76044722162439737</v>
      </c>
      <c r="AM64" s="1">
        <f t="shared" si="22"/>
        <v>0.15427500000000002</v>
      </c>
      <c r="AN64" s="136">
        <f t="shared" si="29"/>
        <v>0.11737036606060605</v>
      </c>
      <c r="AO64" s="133">
        <f t="shared" si="23"/>
        <v>1.0320925876850036</v>
      </c>
      <c r="AP64" s="132">
        <f t="shared" si="7"/>
        <v>0.37734312891210631</v>
      </c>
      <c r="AQ64" s="137">
        <f t="shared" si="8"/>
        <v>0.95055902703049688</v>
      </c>
      <c r="AR64" s="137">
        <f t="shared" si="9"/>
        <v>4.2418364489364445E-2</v>
      </c>
      <c r="AS64" s="1">
        <f t="shared" si="10"/>
        <v>5.9279999999999999E-2</v>
      </c>
      <c r="AT64" s="133">
        <f t="shared" si="24"/>
        <v>4.7520000000000007E-2</v>
      </c>
      <c r="AU64" s="132">
        <f t="shared" si="25"/>
        <v>4.2839284286747024</v>
      </c>
      <c r="AV64" s="1">
        <f t="shared" si="26"/>
        <v>90</v>
      </c>
      <c r="AW64" s="133">
        <f t="shared" si="27"/>
        <v>95.456353484554398</v>
      </c>
    </row>
    <row r="65" spans="17:49" x14ac:dyDescent="0.25">
      <c r="Q65">
        <v>58</v>
      </c>
      <c r="R65" s="132">
        <f t="shared" si="0"/>
        <v>18</v>
      </c>
      <c r="S65" s="1">
        <f t="shared" si="30"/>
        <v>5</v>
      </c>
      <c r="T65" s="1">
        <f t="shared" si="31"/>
        <v>11.886666666666667</v>
      </c>
      <c r="U65" s="133">
        <f t="shared" si="11"/>
        <v>7.5715086932136844</v>
      </c>
      <c r="V65" s="132">
        <f>IF(Calculations!$B$17=3,2,IF((S65*R65/T65)&lt;((T65*(1-(T65/R65)))/(2*Lm*fsw)),1,2))</f>
        <v>2</v>
      </c>
      <c r="W65" s="1">
        <f t="shared" si="12"/>
        <v>0.33962962962962961</v>
      </c>
      <c r="X65" s="133">
        <f t="shared" si="3"/>
        <v>0.66037037037037039</v>
      </c>
      <c r="Y65" s="132">
        <f t="shared" si="4"/>
        <v>1.6148256790123454</v>
      </c>
      <c r="Z65" s="1">
        <f t="shared" si="13"/>
        <v>8.3789215327198576</v>
      </c>
      <c r="AA65" s="1">
        <f t="shared" si="14"/>
        <v>7.5858453092504377</v>
      </c>
      <c r="AB65" s="1">
        <v>0</v>
      </c>
      <c r="AC65" s="1">
        <f t="shared" si="15"/>
        <v>0.9494933094219683</v>
      </c>
      <c r="AD65" s="133">
        <f t="shared" si="16"/>
        <v>0.9494933094219683</v>
      </c>
      <c r="AE65" s="132">
        <f t="shared" si="28"/>
        <v>2.5715086932136844</v>
      </c>
      <c r="AF65" s="1">
        <f t="shared" si="17"/>
        <v>4.4208600631400143</v>
      </c>
      <c r="AG65" s="1">
        <f t="shared" si="5"/>
        <v>0.3908800739573266</v>
      </c>
      <c r="AH65" s="1">
        <f t="shared" si="18"/>
        <v>0.43216823646345198</v>
      </c>
      <c r="AI65" s="133">
        <f t="shared" si="19"/>
        <v>0.82304831042077864</v>
      </c>
      <c r="AJ65" s="132">
        <f t="shared" si="20"/>
        <v>5</v>
      </c>
      <c r="AK65" s="1">
        <f t="shared" si="21"/>
        <v>6.1644987921168859</v>
      </c>
      <c r="AL65" s="1">
        <f t="shared" si="6"/>
        <v>0.76002090716021087</v>
      </c>
      <c r="AM65" s="1">
        <f t="shared" si="22"/>
        <v>0.15427500000000002</v>
      </c>
      <c r="AN65" s="136">
        <f t="shared" si="29"/>
        <v>0.11730490145807801</v>
      </c>
      <c r="AO65" s="133">
        <f t="shared" si="23"/>
        <v>1.0316008086182888</v>
      </c>
      <c r="AP65" s="132">
        <f t="shared" si="7"/>
        <v>0.37692007131599342</v>
      </c>
      <c r="AQ65" s="137">
        <f t="shared" si="8"/>
        <v>0.9494933094219683</v>
      </c>
      <c r="AR65" s="137">
        <f t="shared" si="9"/>
        <v>4.2366704730228584E-2</v>
      </c>
      <c r="AS65" s="1">
        <f t="shared" si="10"/>
        <v>5.9279999999999999E-2</v>
      </c>
      <c r="AT65" s="133">
        <f t="shared" si="24"/>
        <v>4.7546666666666668E-2</v>
      </c>
      <c r="AU65" s="132">
        <f t="shared" si="25"/>
        <v>4.2797491805958927</v>
      </c>
      <c r="AV65" s="1">
        <f t="shared" si="26"/>
        <v>90</v>
      </c>
      <c r="AW65" s="133">
        <f t="shared" si="27"/>
        <v>95.460584889340439</v>
      </c>
    </row>
    <row r="66" spans="17:49" x14ac:dyDescent="0.25">
      <c r="Q66">
        <v>59</v>
      </c>
      <c r="R66" s="132">
        <f t="shared" si="0"/>
        <v>18</v>
      </c>
      <c r="S66" s="1">
        <f t="shared" si="30"/>
        <v>5</v>
      </c>
      <c r="T66" s="1">
        <f t="shared" si="31"/>
        <v>11.893333333333333</v>
      </c>
      <c r="U66" s="133">
        <f t="shared" si="11"/>
        <v>7.5672645739910323</v>
      </c>
      <c r="V66" s="132">
        <f>IF(Calculations!$B$17=3,2,IF((S66*R66/T66)&lt;((T66*(1-(T66/R66)))/(2*Lm*fsw)),1,2))</f>
        <v>2</v>
      </c>
      <c r="W66" s="1">
        <f t="shared" si="12"/>
        <v>0.33925925925925926</v>
      </c>
      <c r="X66" s="133">
        <f t="shared" si="3"/>
        <v>0.66074074074074074</v>
      </c>
      <c r="Y66" s="132">
        <f t="shared" si="4"/>
        <v>1.6139693827160493</v>
      </c>
      <c r="Z66" s="1">
        <f t="shared" si="13"/>
        <v>8.3742492653490572</v>
      </c>
      <c r="AA66" s="1">
        <f t="shared" si="14"/>
        <v>7.5815940208381258</v>
      </c>
      <c r="AB66" s="1">
        <v>0</v>
      </c>
      <c r="AC66" s="1">
        <f t="shared" si="15"/>
        <v>0.94842937029733887</v>
      </c>
      <c r="AD66" s="133">
        <f t="shared" si="16"/>
        <v>0.94842937029733887</v>
      </c>
      <c r="AE66" s="132">
        <f t="shared" si="28"/>
        <v>2.5672645739910318</v>
      </c>
      <c r="AF66" s="1">
        <f t="shared" si="17"/>
        <v>4.4159726999238549</v>
      </c>
      <c r="AG66" s="1">
        <f t="shared" si="5"/>
        <v>0.39001629772945562</v>
      </c>
      <c r="AH66" s="1">
        <f t="shared" si="18"/>
        <v>0.43192598969413398</v>
      </c>
      <c r="AI66" s="133">
        <f t="shared" si="19"/>
        <v>0.82194228742358955</v>
      </c>
      <c r="AJ66" s="132">
        <f t="shared" si="20"/>
        <v>5.0000000000000009</v>
      </c>
      <c r="AK66" s="1">
        <f t="shared" si="21"/>
        <v>6.1627715364384255</v>
      </c>
      <c r="AL66" s="1">
        <f t="shared" si="6"/>
        <v>0.75959506020671252</v>
      </c>
      <c r="AM66" s="1">
        <f t="shared" si="22"/>
        <v>0.15427500000000002</v>
      </c>
      <c r="AN66" s="136">
        <f t="shared" si="29"/>
        <v>0.1172394897148868</v>
      </c>
      <c r="AO66" s="133">
        <f t="shared" si="23"/>
        <v>1.0311095499215994</v>
      </c>
      <c r="AP66" s="132">
        <f t="shared" si="7"/>
        <v>0.37649771972409507</v>
      </c>
      <c r="AQ66" s="137">
        <f t="shared" si="8"/>
        <v>0.94842937029733887</v>
      </c>
      <c r="AR66" s="137">
        <f t="shared" si="9"/>
        <v>4.231496127691544E-2</v>
      </c>
      <c r="AS66" s="1">
        <f t="shared" si="10"/>
        <v>5.9279999999999999E-2</v>
      </c>
      <c r="AT66" s="133">
        <f t="shared" si="24"/>
        <v>4.7573333333333329E-2</v>
      </c>
      <c r="AU66" s="132">
        <f t="shared" si="25"/>
        <v>4.2755765922742102</v>
      </c>
      <c r="AV66" s="1">
        <f t="shared" si="26"/>
        <v>90</v>
      </c>
      <c r="AW66" s="133">
        <f t="shared" si="27"/>
        <v>95.464809925517244</v>
      </c>
    </row>
    <row r="67" spans="17:49" x14ac:dyDescent="0.25">
      <c r="Q67">
        <v>60</v>
      </c>
      <c r="R67" s="132">
        <f t="shared" si="0"/>
        <v>18</v>
      </c>
      <c r="S67" s="1">
        <f t="shared" si="30"/>
        <v>5</v>
      </c>
      <c r="T67" s="1">
        <f t="shared" si="31"/>
        <v>11.9</v>
      </c>
      <c r="U67" s="133">
        <f t="shared" si="11"/>
        <v>7.5630252100840334</v>
      </c>
      <c r="V67" s="132">
        <f>IF(Calculations!$B$17=3,2,IF((S67*R67/T67)&lt;((T67*(1-(T67/R67)))/(2*Lm*fsw)),1,2))</f>
        <v>2</v>
      </c>
      <c r="W67" s="1">
        <f t="shared" si="12"/>
        <v>0.33888888888888891</v>
      </c>
      <c r="X67" s="133">
        <f t="shared" si="3"/>
        <v>0.66111111111111109</v>
      </c>
      <c r="Y67" s="132">
        <f t="shared" si="4"/>
        <v>1.6131111111111114</v>
      </c>
      <c r="Z67" s="1">
        <f t="shared" si="13"/>
        <v>8.36958076563959</v>
      </c>
      <c r="AA67" s="1">
        <f t="shared" si="14"/>
        <v>7.5773474437364392</v>
      </c>
      <c r="AB67" s="1">
        <v>0</v>
      </c>
      <c r="AC67" s="1">
        <f t="shared" si="15"/>
        <v>0.94736720567113608</v>
      </c>
      <c r="AD67" s="133">
        <f t="shared" si="16"/>
        <v>0.94736720567113608</v>
      </c>
      <c r="AE67" s="132">
        <f t="shared" si="28"/>
        <v>2.5630252100840338</v>
      </c>
      <c r="AF67" s="1">
        <f t="shared" si="17"/>
        <v>4.4110894668809486</v>
      </c>
      <c r="AG67" s="1">
        <f t="shared" si="5"/>
        <v>0.38915420569656101</v>
      </c>
      <c r="AH67" s="1">
        <f t="shared" si="18"/>
        <v>0.4316840143497675</v>
      </c>
      <c r="AI67" s="133">
        <f t="shared" si="19"/>
        <v>0.82083822004632845</v>
      </c>
      <c r="AJ67" s="132">
        <f t="shared" si="20"/>
        <v>5</v>
      </c>
      <c r="AK67" s="1">
        <f t="shared" si="21"/>
        <v>6.1610456903249071</v>
      </c>
      <c r="AL67" s="1">
        <f t="shared" si="6"/>
        <v>0.75916967996542228</v>
      </c>
      <c r="AM67" s="1">
        <f t="shared" si="22"/>
        <v>0.15427500000000002</v>
      </c>
      <c r="AN67" s="136">
        <f t="shared" si="29"/>
        <v>0.11717413071895426</v>
      </c>
      <c r="AO67" s="133">
        <f t="shared" si="23"/>
        <v>1.0306188106843766</v>
      </c>
      <c r="AP67" s="132">
        <f t="shared" si="7"/>
        <v>0.37607607255429942</v>
      </c>
      <c r="AQ67" s="137">
        <f t="shared" si="8"/>
        <v>0.94736720567113608</v>
      </c>
      <c r="AR67" s="137">
        <f t="shared" si="9"/>
        <v>4.2263134371327192E-2</v>
      </c>
      <c r="AS67" s="1">
        <f t="shared" si="10"/>
        <v>5.9279999999999999E-2</v>
      </c>
      <c r="AT67" s="133">
        <f t="shared" si="24"/>
        <v>4.7600000000000003E-2</v>
      </c>
      <c r="AU67" s="132">
        <f t="shared" si="25"/>
        <v>4.2714106489986037</v>
      </c>
      <c r="AV67" s="1">
        <f t="shared" si="26"/>
        <v>90</v>
      </c>
      <c r="AW67" s="133">
        <f t="shared" si="27"/>
        <v>95.46902860624165</v>
      </c>
    </row>
    <row r="68" spans="17:49" x14ac:dyDescent="0.25">
      <c r="Q68">
        <v>61</v>
      </c>
      <c r="R68" s="132">
        <f t="shared" si="0"/>
        <v>18</v>
      </c>
      <c r="S68" s="1">
        <f t="shared" si="30"/>
        <v>5</v>
      </c>
      <c r="T68" s="1">
        <f t="shared" si="31"/>
        <v>11.906666666666666</v>
      </c>
      <c r="U68" s="133">
        <f t="shared" si="11"/>
        <v>7.558790593505039</v>
      </c>
      <c r="V68" s="132">
        <f>IF(Calculations!$B$17=3,2,IF((S68*R68/T68)&lt;((T68*(1-(T68/R68)))/(2*Lm*fsw)),1,2))</f>
        <v>2</v>
      </c>
      <c r="W68" s="1">
        <f t="shared" si="12"/>
        <v>0.33851851851851855</v>
      </c>
      <c r="X68" s="133">
        <f t="shared" si="3"/>
        <v>0.66148148148148145</v>
      </c>
      <c r="Y68" s="132">
        <f t="shared" si="4"/>
        <v>1.6122508641975308</v>
      </c>
      <c r="Z68" s="1">
        <f t="shared" si="13"/>
        <v>8.3649160256038044</v>
      </c>
      <c r="AA68" s="1">
        <f t="shared" si="14"/>
        <v>7.5731055699683552</v>
      </c>
      <c r="AB68" s="1">
        <v>0</v>
      </c>
      <c r="AC68" s="1">
        <f t="shared" si="15"/>
        <v>0.94630681156911445</v>
      </c>
      <c r="AD68" s="133">
        <f t="shared" si="16"/>
        <v>0.94630681156911445</v>
      </c>
      <c r="AE68" s="132">
        <f t="shared" si="28"/>
        <v>2.5587905935050395</v>
      </c>
      <c r="AF68" s="1">
        <f t="shared" si="17"/>
        <v>4.4062103549309333</v>
      </c>
      <c r="AG68" s="1">
        <f t="shared" si="5"/>
        <v>0.3882937938380116</v>
      </c>
      <c r="AH68" s="1">
        <f t="shared" si="18"/>
        <v>0.43144230997443156</v>
      </c>
      <c r="AI68" s="133">
        <f t="shared" si="19"/>
        <v>0.81973610381244311</v>
      </c>
      <c r="AJ68" s="132">
        <f t="shared" si="20"/>
        <v>5</v>
      </c>
      <c r="AK68" s="1">
        <f t="shared" si="21"/>
        <v>6.1593212517277545</v>
      </c>
      <c r="AL68" s="1">
        <f t="shared" si="6"/>
        <v>0.75874476563970306</v>
      </c>
      <c r="AM68" s="1">
        <f t="shared" si="22"/>
        <v>0.15427500000000002</v>
      </c>
      <c r="AN68" s="136">
        <f t="shared" si="29"/>
        <v>0.11710882435845327</v>
      </c>
      <c r="AO68" s="133">
        <f t="shared" si="23"/>
        <v>1.0301285899981565</v>
      </c>
      <c r="AP68" s="132">
        <f t="shared" si="7"/>
        <v>0.37565512822895142</v>
      </c>
      <c r="AQ68" s="137">
        <f t="shared" si="8"/>
        <v>0.94630681156911445</v>
      </c>
      <c r="AR68" s="137">
        <f t="shared" si="9"/>
        <v>4.2211224255855051E-2</v>
      </c>
      <c r="AS68" s="1">
        <f t="shared" si="10"/>
        <v>5.9279999999999999E-2</v>
      </c>
      <c r="AT68" s="133">
        <f t="shared" si="24"/>
        <v>4.7626666666666664E-2</v>
      </c>
      <c r="AU68" s="132">
        <f t="shared" si="25"/>
        <v>4.2672513361003013</v>
      </c>
      <c r="AV68" s="1">
        <f t="shared" si="26"/>
        <v>90</v>
      </c>
      <c r="AW68" s="133">
        <f t="shared" si="27"/>
        <v>95.473240944635322</v>
      </c>
    </row>
    <row r="69" spans="17:49" x14ac:dyDescent="0.25">
      <c r="Q69">
        <v>62</v>
      </c>
      <c r="R69" s="132">
        <f t="shared" si="0"/>
        <v>18</v>
      </c>
      <c r="S69" s="1">
        <f t="shared" si="30"/>
        <v>5</v>
      </c>
      <c r="T69" s="1">
        <f t="shared" si="31"/>
        <v>11.913333333333334</v>
      </c>
      <c r="U69" s="133">
        <f t="shared" si="11"/>
        <v>7.5545607162842749</v>
      </c>
      <c r="V69" s="132">
        <f>IF(Calculations!$B$17=3,2,IF((S69*R69/T69)&lt;((T69*(1-(T69/R69)))/(2*Lm*fsw)),1,2))</f>
        <v>2</v>
      </c>
      <c r="W69" s="1">
        <f t="shared" si="12"/>
        <v>0.33814814814814809</v>
      </c>
      <c r="X69" s="133">
        <f t="shared" si="3"/>
        <v>0.66185185185185191</v>
      </c>
      <c r="Y69" s="132">
        <f t="shared" si="4"/>
        <v>1.6113886419753083</v>
      </c>
      <c r="Z69" s="1">
        <f t="shared" si="13"/>
        <v>8.36025503727193</v>
      </c>
      <c r="AA69" s="1">
        <f t="shared" si="14"/>
        <v>7.5688683915749797</v>
      </c>
      <c r="AB69" s="1">
        <v>0</v>
      </c>
      <c r="AC69" s="1">
        <f t="shared" si="15"/>
        <v>0.94524818402821653</v>
      </c>
      <c r="AD69" s="133">
        <f t="shared" si="16"/>
        <v>0.94524818402821653</v>
      </c>
      <c r="AE69" s="132">
        <f t="shared" si="28"/>
        <v>2.5545607162842749</v>
      </c>
      <c r="AF69" s="1">
        <f t="shared" si="17"/>
        <v>4.4013353550081744</v>
      </c>
      <c r="AG69" s="1">
        <f t="shared" si="5"/>
        <v>0.38743505814489865</v>
      </c>
      <c r="AH69" s="1">
        <f t="shared" si="18"/>
        <v>0.43120087611322599</v>
      </c>
      <c r="AI69" s="133">
        <f t="shared" si="19"/>
        <v>0.81863593425812464</v>
      </c>
      <c r="AJ69" s="132">
        <f t="shared" si="20"/>
        <v>5</v>
      </c>
      <c r="AK69" s="1">
        <f t="shared" si="21"/>
        <v>6.1575982186025993</v>
      </c>
      <c r="AL69" s="1">
        <f t="shared" si="6"/>
        <v>0.75832031643475806</v>
      </c>
      <c r="AM69" s="1">
        <f t="shared" si="22"/>
        <v>0.15427500000000002</v>
      </c>
      <c r="AN69" s="136">
        <f t="shared" si="29"/>
        <v>0.11704357052180703</v>
      </c>
      <c r="AO69" s="133">
        <f t="shared" si="23"/>
        <v>1.0296388869565651</v>
      </c>
      <c r="AP69" s="132">
        <f t="shared" si="7"/>
        <v>0.37523488517483744</v>
      </c>
      <c r="AQ69" s="137">
        <f t="shared" si="8"/>
        <v>0.94524818402821653</v>
      </c>
      <c r="AR69" s="137">
        <f t="shared" si="9"/>
        <v>4.2159231173379025E-2</v>
      </c>
      <c r="AS69" s="1">
        <f t="shared" si="10"/>
        <v>5.9279999999999999E-2</v>
      </c>
      <c r="AT69" s="133">
        <f t="shared" si="24"/>
        <v>4.7653333333333339E-2</v>
      </c>
      <c r="AU69" s="132">
        <f t="shared" si="25"/>
        <v>4.2630986389526724</v>
      </c>
      <c r="AV69" s="1">
        <f t="shared" si="26"/>
        <v>90</v>
      </c>
      <c r="AW69" s="133">
        <f t="shared" si="27"/>
        <v>95.477446953784934</v>
      </c>
    </row>
    <row r="70" spans="17:49" x14ac:dyDescent="0.25">
      <c r="Q70">
        <v>63</v>
      </c>
      <c r="R70" s="132">
        <f t="shared" si="0"/>
        <v>18</v>
      </c>
      <c r="S70" s="1">
        <f t="shared" si="30"/>
        <v>5</v>
      </c>
      <c r="T70" s="1">
        <f t="shared" si="31"/>
        <v>11.92</v>
      </c>
      <c r="U70" s="133">
        <f t="shared" si="11"/>
        <v>7.550335570469799</v>
      </c>
      <c r="V70" s="132">
        <f>IF(Calculations!$B$17=3,2,IF((S70*R70/T70)&lt;((T70*(1-(T70/R70)))/(2*Lm*fsw)),1,2))</f>
        <v>2</v>
      </c>
      <c r="W70" s="1">
        <f t="shared" si="12"/>
        <v>0.33777777777777773</v>
      </c>
      <c r="X70" s="133">
        <f t="shared" si="3"/>
        <v>0.66222222222222227</v>
      </c>
      <c r="Y70" s="132">
        <f t="shared" si="4"/>
        <v>1.6105244444444442</v>
      </c>
      <c r="Z70" s="1">
        <f t="shared" si="13"/>
        <v>8.3555977926920217</v>
      </c>
      <c r="AA70" s="1">
        <f t="shared" si="14"/>
        <v>7.5646359006155031</v>
      </c>
      <c r="AB70" s="1">
        <v>0</v>
      </c>
      <c r="AC70" s="1">
        <f t="shared" si="15"/>
        <v>0.94419131909653531</v>
      </c>
      <c r="AD70" s="133">
        <f t="shared" si="16"/>
        <v>0.94419131909653531</v>
      </c>
      <c r="AE70" s="132">
        <f t="shared" si="28"/>
        <v>2.5503355704697985</v>
      </c>
      <c r="AF70" s="1">
        <f t="shared" si="17"/>
        <v>4.3964644580617023</v>
      </c>
      <c r="AG70" s="1">
        <f t="shared" si="5"/>
        <v>0.38657799461999554</v>
      </c>
      <c r="AH70" s="1">
        <f t="shared" si="18"/>
        <v>0.43095971231226793</v>
      </c>
      <c r="AI70" s="133">
        <f t="shared" si="19"/>
        <v>0.81753770693226346</v>
      </c>
      <c r="AJ70" s="132">
        <f t="shared" si="20"/>
        <v>5.0000000000000009</v>
      </c>
      <c r="AK70" s="1">
        <f t="shared" si="21"/>
        <v>6.1558765889092646</v>
      </c>
      <c r="AL70" s="1">
        <f t="shared" si="6"/>
        <v>0.75789633155762337</v>
      </c>
      <c r="AM70" s="1">
        <f t="shared" si="22"/>
        <v>0.15427500000000002</v>
      </c>
      <c r="AN70" s="136">
        <f t="shared" si="29"/>
        <v>0.1169783690976883</v>
      </c>
      <c r="AO70" s="133">
        <f t="shared" si="23"/>
        <v>1.0291497006553116</v>
      </c>
      <c r="AP70" s="132">
        <f t="shared" si="7"/>
        <v>0.37481534182317</v>
      </c>
      <c r="AQ70" s="137">
        <f t="shared" si="8"/>
        <v>0.94419131909653531</v>
      </c>
      <c r="AR70" s="137">
        <f t="shared" si="9"/>
        <v>4.2107155367266946E-2</v>
      </c>
      <c r="AS70" s="1">
        <f t="shared" si="10"/>
        <v>5.9279999999999999E-2</v>
      </c>
      <c r="AT70" s="133">
        <f t="shared" si="24"/>
        <v>4.768E-2</v>
      </c>
      <c r="AU70" s="132">
        <f t="shared" si="25"/>
        <v>4.2589525429710831</v>
      </c>
      <c r="AV70" s="1">
        <f t="shared" si="26"/>
        <v>90</v>
      </c>
      <c r="AW70" s="133">
        <f t="shared" si="27"/>
        <v>95.481646646742121</v>
      </c>
    </row>
    <row r="71" spans="17:49" x14ac:dyDescent="0.25">
      <c r="Q71">
        <v>64</v>
      </c>
      <c r="R71" s="132">
        <f t="shared" ref="R71:R134" si="32">VOUT</f>
        <v>18</v>
      </c>
      <c r="S71" s="1">
        <f t="shared" ref="S71:S102" si="33">IOUT</f>
        <v>5</v>
      </c>
      <c r="T71" s="1">
        <f t="shared" ref="T71:T102" si="34">VIN_MIN+($O$12)*(Q71)</f>
        <v>11.926666666666666</v>
      </c>
      <c r="U71" s="133">
        <f t="shared" si="11"/>
        <v>7.5461151481274458</v>
      </c>
      <c r="V71" s="132">
        <f>IF(Calculations!$B$17=3,2,IF((S71*R71/T71)&lt;((T71*(1-(T71/R71)))/(2*Lm*fsw)),1,2))</f>
        <v>2</v>
      </c>
      <c r="W71" s="1">
        <f t="shared" si="12"/>
        <v>0.33740740740740749</v>
      </c>
      <c r="X71" s="133">
        <f t="shared" ref="X71:X134" si="35">CHOOSE(V71,(Lm*Z71*fsw)/(R71-T71),1-W71)</f>
        <v>0.66259259259259251</v>
      </c>
      <c r="Y71" s="132">
        <f t="shared" ref="Y71:Y134" si="36">(T71*W71)/(Lm*fsw)</f>
        <v>1.6096582716049386</v>
      </c>
      <c r="Z71" s="1">
        <f t="shared" si="13"/>
        <v>8.3509442839299144</v>
      </c>
      <c r="AA71" s="1">
        <f t="shared" si="14"/>
        <v>7.5604080891671464</v>
      </c>
      <c r="AB71" s="1">
        <v>0</v>
      </c>
      <c r="AC71" s="1">
        <f t="shared" si="15"/>
        <v>0.94313621283327642</v>
      </c>
      <c r="AD71" s="133">
        <f t="shared" si="16"/>
        <v>0.94313621283327642</v>
      </c>
      <c r="AE71" s="132">
        <f t="shared" si="28"/>
        <v>2.5461151481274462</v>
      </c>
      <c r="AF71" s="1">
        <f t="shared" si="17"/>
        <v>4.3915976550551452</v>
      </c>
      <c r="AG71" s="1">
        <f t="shared" ref="AG71:AG134" si="37">(AF71^2)*RDS_on</f>
        <v>0.38572259927771707</v>
      </c>
      <c r="AH71" s="1">
        <f t="shared" si="18"/>
        <v>0.43071881811868923</v>
      </c>
      <c r="AI71" s="133">
        <f t="shared" si="19"/>
        <v>0.8164414173964063</v>
      </c>
      <c r="AJ71" s="132">
        <f t="shared" si="20"/>
        <v>5</v>
      </c>
      <c r="AK71" s="1">
        <f t="shared" si="21"/>
        <v>6.1541563606117577</v>
      </c>
      <c r="AL71" s="1">
        <f t="shared" ref="AL71:AL134" si="38">(AK71^2)*RDS_on_HS</f>
        <v>0.75747281021716306</v>
      </c>
      <c r="AM71" s="1">
        <f t="shared" si="22"/>
        <v>0.15427500000000002</v>
      </c>
      <c r="AN71" s="136">
        <f t="shared" si="29"/>
        <v>0.1169132199750188</v>
      </c>
      <c r="AO71" s="133">
        <f t="shared" si="23"/>
        <v>1.0286610301921819</v>
      </c>
      <c r="AP71" s="132">
        <f t="shared" ref="AP71:AP134" si="39">(AA71^2)*Rcs</f>
        <v>0.3743964966095733</v>
      </c>
      <c r="AQ71" s="137">
        <f t="shared" ref="AQ71:AQ134" si="40">Rdcr*AA71^2</f>
        <v>0.94313621283327642</v>
      </c>
      <c r="AR71" s="137">
        <f t="shared" ref="AR71:AR134" si="41">ABS(7.759*10^-3*fsw^0.9458*(0.00787*Y71)^2.304)</f>
        <v>4.2054997081374175E-2</v>
      </c>
      <c r="AS71" s="1">
        <f t="shared" ref="AS71:AS134" si="42">(Qg_tot+Qg_tot_HS)*VCC*fsw</f>
        <v>5.9279999999999999E-2</v>
      </c>
      <c r="AT71" s="133">
        <f t="shared" si="24"/>
        <v>4.7706666666666661E-2</v>
      </c>
      <c r="AU71" s="132">
        <f t="shared" si="25"/>
        <v>4.2548130336127548</v>
      </c>
      <c r="AV71" s="1">
        <f t="shared" si="26"/>
        <v>90</v>
      </c>
      <c r="AW71" s="133">
        <f t="shared" si="27"/>
        <v>95.48584003652374</v>
      </c>
    </row>
    <row r="72" spans="17:49" x14ac:dyDescent="0.25">
      <c r="Q72">
        <v>65</v>
      </c>
      <c r="R72" s="132">
        <f t="shared" si="32"/>
        <v>18</v>
      </c>
      <c r="S72" s="1">
        <f t="shared" si="33"/>
        <v>5</v>
      </c>
      <c r="T72" s="1">
        <f t="shared" si="34"/>
        <v>11.933333333333334</v>
      </c>
      <c r="U72" s="133">
        <f t="shared" ref="U72:U135" si="43">(R72*S72)/(T72*EFF_est)</f>
        <v>7.5418994413407816</v>
      </c>
      <c r="V72" s="132">
        <f>IF(Calculations!$B$17=3,2,IF((S72*R72/T72)&lt;((T72*(1-(T72/R72)))/(2*Lm*fsw)),1,2))</f>
        <v>2</v>
      </c>
      <c r="W72" s="1">
        <f t="shared" ref="W72:W135" si="44">CHOOSE(V72,SQRT((2*S72*Lm*fsw*(R72-T72))/((T72)^2)),1-(T72/R72))</f>
        <v>0.33703703703703702</v>
      </c>
      <c r="X72" s="133">
        <f t="shared" si="35"/>
        <v>0.66296296296296298</v>
      </c>
      <c r="Y72" s="132">
        <f t="shared" si="36"/>
        <v>1.6087901234567901</v>
      </c>
      <c r="Z72" s="1">
        <f t="shared" ref="Z72:Z135" si="45">CHOOSE(V72,Y72,U72+(0.5*Y72))</f>
        <v>8.346294503069176</v>
      </c>
      <c r="AA72" s="1">
        <f t="shared" ref="AA72:AA135" si="46">CHOOSE(V72,Z72*SQRT((W72+X72)/3),SQRT((U72^2)+((Y72^2)/12)))</f>
        <v>7.5561849493251154</v>
      </c>
      <c r="AB72" s="1">
        <v>0</v>
      </c>
      <c r="AC72" s="1">
        <f t="shared" ref="AC72:AC135" si="47">(AA72^2)*Rdcr</f>
        <v>0.9420828613087221</v>
      </c>
      <c r="AD72" s="133">
        <f t="shared" ref="AD72:AD135" si="48">AB72+AC72</f>
        <v>0.9420828613087221</v>
      </c>
      <c r="AE72" s="132">
        <f t="shared" si="28"/>
        <v>2.5418994413407821</v>
      </c>
      <c r="AF72" s="1">
        <f t="shared" ref="AF72:AF135" si="49">CHOOSE(V72,Z72*SQRT(W72/3),SQRT(W72*((Z72^2)+((Y72^2)/3)-(Z72*Y72))))</f>
        <v>4.3867349369666693</v>
      </c>
      <c r="AG72" s="1">
        <f t="shared" si="37"/>
        <v>0.38486886814407939</v>
      </c>
      <c r="AH72" s="1">
        <f t="shared" ref="AH72:AH135" si="50">((R72*U72)/2)*fsw*(tr_sw+tf_sw)</f>
        <v>0.43047819308063395</v>
      </c>
      <c r="AI72" s="133">
        <f t="shared" ref="AI72:AI135" si="51">AG72+AH72</f>
        <v>0.81534706122471334</v>
      </c>
      <c r="AJ72" s="132">
        <f t="shared" ref="AJ72:AJ135" si="52">X72*U72</f>
        <v>5</v>
      </c>
      <c r="AK72" s="1">
        <f t="shared" ref="AK72:AK135" si="53">CHOOSE(V72,Z72*SQRT(X72/3),SQRT(X72*((Z72^2)+((Y72^2)/3)-(Y72*Z72))))</f>
        <v>6.1524375316782711</v>
      </c>
      <c r="AL72" s="1">
        <f t="shared" si="38"/>
        <v>0.7570497516240684</v>
      </c>
      <c r="AM72" s="1">
        <f t="shared" ref="AM72:AM135" si="54">CHOOSE(V72,(R72+Vd_rect)*Qrr*fsw,(R72+Vd_rect)*Qrr*fsw)</f>
        <v>0.15427500000000002</v>
      </c>
      <c r="AN72" s="136">
        <f t="shared" si="29"/>
        <v>0.11684812304296846</v>
      </c>
      <c r="AO72" s="133">
        <f t="shared" ref="AO72:AO135" si="55">AL72+AM72+AN72</f>
        <v>1.0281728746670369</v>
      </c>
      <c r="AP72" s="132">
        <f t="shared" si="39"/>
        <v>0.37397834797406843</v>
      </c>
      <c r="AQ72" s="137">
        <f t="shared" si="40"/>
        <v>0.9420828613087221</v>
      </c>
      <c r="AR72" s="137">
        <f t="shared" si="41"/>
        <v>4.2002756560043319E-2</v>
      </c>
      <c r="AS72" s="1">
        <f t="shared" si="42"/>
        <v>5.9279999999999999E-2</v>
      </c>
      <c r="AT72" s="133">
        <f t="shared" ref="AT72:AT135" si="56">IQ*T72</f>
        <v>4.7733333333333336E-2</v>
      </c>
      <c r="AU72" s="132">
        <f t="shared" ref="AU72:AU135" si="57">AP72+AO72+AI72+AD72+AS72+AT72+AQ72+AR72</f>
        <v>4.25068009637664</v>
      </c>
      <c r="AV72" s="1">
        <f t="shared" ref="AV72:AV135" si="58">R72*S72</f>
        <v>90</v>
      </c>
      <c r="AW72" s="133">
        <f t="shared" ref="AW72:AW135" si="59">(AV72/(AV72+AU72))*100</f>
        <v>95.49002713611182</v>
      </c>
    </row>
    <row r="73" spans="17:49" x14ac:dyDescent="0.25">
      <c r="Q73">
        <v>66</v>
      </c>
      <c r="R73" s="132">
        <f t="shared" si="32"/>
        <v>18</v>
      </c>
      <c r="S73" s="1">
        <f t="shared" si="33"/>
        <v>5</v>
      </c>
      <c r="T73" s="1">
        <f t="shared" si="34"/>
        <v>11.94</v>
      </c>
      <c r="U73" s="133">
        <f t="shared" si="43"/>
        <v>7.5376884422110555</v>
      </c>
      <c r="V73" s="132">
        <f>IF(Calculations!$B$17=3,2,IF((S73*R73/T73)&lt;((T73*(1-(T73/R73)))/(2*Lm*fsw)),1,2))</f>
        <v>2</v>
      </c>
      <c r="W73" s="1">
        <f t="shared" si="44"/>
        <v>0.33666666666666667</v>
      </c>
      <c r="X73" s="133">
        <f t="shared" si="35"/>
        <v>0.66333333333333333</v>
      </c>
      <c r="Y73" s="132">
        <f t="shared" si="36"/>
        <v>1.60792</v>
      </c>
      <c r="Z73" s="1">
        <f t="shared" si="45"/>
        <v>8.3416484422110564</v>
      </c>
      <c r="AA73" s="1">
        <f t="shared" si="46"/>
        <v>7.5519664732025564</v>
      </c>
      <c r="AB73" s="1">
        <v>0</v>
      </c>
      <c r="AC73" s="1">
        <f t="shared" si="47"/>
        <v>0.94103126060419506</v>
      </c>
      <c r="AD73" s="133">
        <f t="shared" si="48"/>
        <v>0.94103126060419506</v>
      </c>
      <c r="AE73" s="132">
        <f t="shared" ref="AE73:AE136" si="60">U73*W73</f>
        <v>2.5376884422110555</v>
      </c>
      <c r="AF73" s="1">
        <f t="shared" si="49"/>
        <v>4.3818762947889205</v>
      </c>
      <c r="AG73" s="1">
        <f t="shared" si="37"/>
        <v>0.38401679725666155</v>
      </c>
      <c r="AH73" s="1">
        <f t="shared" si="50"/>
        <v>0.43023783674725569</v>
      </c>
      <c r="AI73" s="133">
        <f t="shared" si="51"/>
        <v>0.81425463400391718</v>
      </c>
      <c r="AJ73" s="132">
        <f t="shared" si="52"/>
        <v>5</v>
      </c>
      <c r="AK73" s="1">
        <f t="shared" si="53"/>
        <v>6.15072010008116</v>
      </c>
      <c r="AL73" s="1">
        <f t="shared" si="38"/>
        <v>0.75662715499084787</v>
      </c>
      <c r="AM73" s="1">
        <f t="shared" si="54"/>
        <v>0.15427500000000002</v>
      </c>
      <c r="AN73" s="136">
        <f t="shared" ref="AN73:AN136" si="61">Vd_rect*t_dead*fsw*Z73</f>
        <v>0.11678307819095479</v>
      </c>
      <c r="AO73" s="133">
        <f t="shared" si="55"/>
        <v>1.0276852331818027</v>
      </c>
      <c r="AP73" s="132">
        <f t="shared" si="39"/>
        <v>0.37356089436105921</v>
      </c>
      <c r="AQ73" s="137">
        <f t="shared" si="40"/>
        <v>0.94103126060419506</v>
      </c>
      <c r="AR73" s="137">
        <f t="shared" si="41"/>
        <v>4.1950434048103113E-2</v>
      </c>
      <c r="AS73" s="1">
        <f t="shared" si="42"/>
        <v>5.9279999999999999E-2</v>
      </c>
      <c r="AT73" s="133">
        <f t="shared" si="56"/>
        <v>4.7759999999999997E-2</v>
      </c>
      <c r="AU73" s="132">
        <f t="shared" si="57"/>
        <v>4.2465537168032723</v>
      </c>
      <c r="AV73" s="1">
        <f t="shared" si="58"/>
        <v>90</v>
      </c>
      <c r="AW73" s="133">
        <f t="shared" si="59"/>
        <v>95.494207958453813</v>
      </c>
    </row>
    <row r="74" spans="17:49" x14ac:dyDescent="0.25">
      <c r="Q74">
        <v>67</v>
      </c>
      <c r="R74" s="132">
        <f t="shared" si="32"/>
        <v>18</v>
      </c>
      <c r="S74" s="1">
        <f t="shared" si="33"/>
        <v>5</v>
      </c>
      <c r="T74" s="1">
        <f t="shared" si="34"/>
        <v>11.946666666666667</v>
      </c>
      <c r="U74" s="133">
        <f t="shared" si="43"/>
        <v>7.5334821428571423</v>
      </c>
      <c r="V74" s="132">
        <f>IF(Calculations!$B$17=3,2,IF((S74*R74/T74)&lt;((T74*(1-(T74/R74)))/(2*Lm*fsw)),1,2))</f>
        <v>2</v>
      </c>
      <c r="W74" s="1">
        <f t="shared" si="44"/>
        <v>0.33629629629629632</v>
      </c>
      <c r="X74" s="133">
        <f t="shared" si="35"/>
        <v>0.66370370370370368</v>
      </c>
      <c r="Y74" s="132">
        <f t="shared" si="36"/>
        <v>1.607047901234568</v>
      </c>
      <c r="Z74" s="1">
        <f t="shared" si="45"/>
        <v>8.337006093474427</v>
      </c>
      <c r="AA74" s="1">
        <f t="shared" si="46"/>
        <v>7.5477526529304937</v>
      </c>
      <c r="AB74" s="1">
        <v>0</v>
      </c>
      <c r="AC74" s="1">
        <f t="shared" si="47"/>
        <v>0.93998140681201858</v>
      </c>
      <c r="AD74" s="133">
        <f t="shared" si="48"/>
        <v>0.93998140681201858</v>
      </c>
      <c r="AE74" s="132">
        <f t="shared" si="60"/>
        <v>2.5334821428571428</v>
      </c>
      <c r="AF74" s="1">
        <f t="shared" si="49"/>
        <v>4.3770217195289458</v>
      </c>
      <c r="AG74" s="1">
        <f t="shared" si="37"/>
        <v>0.3831663826645626</v>
      </c>
      <c r="AH74" s="1">
        <f t="shared" si="50"/>
        <v>0.42999774866871365</v>
      </c>
      <c r="AI74" s="133">
        <f t="shared" si="51"/>
        <v>0.81316413133327625</v>
      </c>
      <c r="AJ74" s="132">
        <f t="shared" si="52"/>
        <v>4.9999999999999991</v>
      </c>
      <c r="AK74" s="1">
        <f t="shared" si="53"/>
        <v>6.1490040637969328</v>
      </c>
      <c r="AL74" s="1">
        <f t="shared" si="38"/>
        <v>0.75620501953182384</v>
      </c>
      <c r="AM74" s="1">
        <f t="shared" si="54"/>
        <v>0.15427500000000002</v>
      </c>
      <c r="AN74" s="136">
        <f t="shared" si="61"/>
        <v>0.11671808530864199</v>
      </c>
      <c r="AO74" s="133">
        <f t="shared" si="55"/>
        <v>1.0271981048404659</v>
      </c>
      <c r="AP74" s="132">
        <f t="shared" si="39"/>
        <v>0.37314413421931641</v>
      </c>
      <c r="AQ74" s="137">
        <f t="shared" si="40"/>
        <v>0.93998140681201858</v>
      </c>
      <c r="AR74" s="137">
        <f t="shared" si="41"/>
        <v>4.1898029790868548E-2</v>
      </c>
      <c r="AS74" s="1">
        <f t="shared" si="42"/>
        <v>5.9279999999999999E-2</v>
      </c>
      <c r="AT74" s="133">
        <f t="shared" si="56"/>
        <v>4.7786666666666672E-2</v>
      </c>
      <c r="AU74" s="132">
        <f t="shared" si="57"/>
        <v>4.2424338804746311</v>
      </c>
      <c r="AV74" s="1">
        <f t="shared" si="58"/>
        <v>90</v>
      </c>
      <c r="AW74" s="133">
        <f t="shared" si="59"/>
        <v>95.498382516462584</v>
      </c>
    </row>
    <row r="75" spans="17:49" x14ac:dyDescent="0.25">
      <c r="Q75">
        <v>68</v>
      </c>
      <c r="R75" s="132">
        <f t="shared" si="32"/>
        <v>18</v>
      </c>
      <c r="S75" s="1">
        <f t="shared" si="33"/>
        <v>5</v>
      </c>
      <c r="T75" s="1">
        <f t="shared" si="34"/>
        <v>11.953333333333333</v>
      </c>
      <c r="U75" s="133">
        <f t="shared" si="43"/>
        <v>7.5292805354155048</v>
      </c>
      <c r="V75" s="132">
        <f>IF(Calculations!$B$17=3,2,IF((S75*R75/T75)&lt;((T75*(1-(T75/R75)))/(2*Lm*fsw)),1,2))</f>
        <v>2</v>
      </c>
      <c r="W75" s="1">
        <f t="shared" si="44"/>
        <v>0.33592592592592596</v>
      </c>
      <c r="X75" s="133">
        <f t="shared" si="35"/>
        <v>0.66407407407407404</v>
      </c>
      <c r="Y75" s="132">
        <f t="shared" si="36"/>
        <v>1.6061738271604942</v>
      </c>
      <c r="Z75" s="1">
        <f t="shared" si="45"/>
        <v>8.3323674489957522</v>
      </c>
      <c r="AA75" s="1">
        <f t="shared" si="46"/>
        <v>7.5435434806577959</v>
      </c>
      <c r="AB75" s="1">
        <v>0</v>
      </c>
      <c r="AC75" s="1">
        <f t="shared" si="47"/>
        <v>0.93893329603548314</v>
      </c>
      <c r="AD75" s="133">
        <f t="shared" si="48"/>
        <v>0.93893329603548314</v>
      </c>
      <c r="AE75" s="132">
        <f t="shared" si="60"/>
        <v>2.5292805354155052</v>
      </c>
      <c r="AF75" s="1">
        <f t="shared" si="49"/>
        <v>4.3721712022081496</v>
      </c>
      <c r="AG75" s="1">
        <f t="shared" si="37"/>
        <v>0.38231762042836515</v>
      </c>
      <c r="AH75" s="1">
        <f t="shared" si="50"/>
        <v>0.42975792839617111</v>
      </c>
      <c r="AI75" s="133">
        <f t="shared" si="51"/>
        <v>0.81207554882453625</v>
      </c>
      <c r="AJ75" s="132">
        <f t="shared" si="52"/>
        <v>5</v>
      </c>
      <c r="AK75" s="1">
        <f t="shared" si="53"/>
        <v>6.1472894208062536</v>
      </c>
      <c r="AL75" s="1">
        <f t="shared" si="38"/>
        <v>0.75578334446312967</v>
      </c>
      <c r="AM75" s="1">
        <f t="shared" si="54"/>
        <v>0.15427500000000002</v>
      </c>
      <c r="AN75" s="136">
        <f t="shared" si="61"/>
        <v>0.11665314428594054</v>
      </c>
      <c r="AO75" s="133">
        <f t="shared" si="55"/>
        <v>1.0267114887490703</v>
      </c>
      <c r="AP75" s="132">
        <f t="shared" si="39"/>
        <v>0.37272806600196451</v>
      </c>
      <c r="AQ75" s="137">
        <f t="shared" si="40"/>
        <v>0.93893329603548314</v>
      </c>
      <c r="AR75" s="137">
        <f t="shared" si="41"/>
        <v>4.184554403414005E-2</v>
      </c>
      <c r="AS75" s="1">
        <f t="shared" si="42"/>
        <v>5.9279999999999999E-2</v>
      </c>
      <c r="AT75" s="133">
        <f t="shared" si="56"/>
        <v>4.7813333333333333E-2</v>
      </c>
      <c r="AU75" s="132">
        <f t="shared" si="57"/>
        <v>4.2383205730140112</v>
      </c>
      <c r="AV75" s="1">
        <f t="shared" si="58"/>
        <v>90</v>
      </c>
      <c r="AW75" s="133">
        <f t="shared" si="59"/>
        <v>95.502550823016591</v>
      </c>
    </row>
    <row r="76" spans="17:49" x14ac:dyDescent="0.25">
      <c r="Q76">
        <v>69</v>
      </c>
      <c r="R76" s="132">
        <f t="shared" si="32"/>
        <v>18</v>
      </c>
      <c r="S76" s="1">
        <f t="shared" si="33"/>
        <v>5</v>
      </c>
      <c r="T76" s="1">
        <f t="shared" si="34"/>
        <v>11.96</v>
      </c>
      <c r="U76" s="133">
        <f t="shared" si="43"/>
        <v>7.5250836120401337</v>
      </c>
      <c r="V76" s="132">
        <f>IF(Calculations!$B$17=3,2,IF((S76*R76/T76)&lt;((T76*(1-(T76/R76)))/(2*Lm*fsw)),1,2))</f>
        <v>2</v>
      </c>
      <c r="W76" s="1">
        <f t="shared" si="44"/>
        <v>0.3355555555555555</v>
      </c>
      <c r="X76" s="133">
        <f t="shared" si="35"/>
        <v>0.6644444444444445</v>
      </c>
      <c r="Y76" s="132">
        <f t="shared" si="36"/>
        <v>1.6052977777777777</v>
      </c>
      <c r="Z76" s="1">
        <f t="shared" si="45"/>
        <v>8.327732500929022</v>
      </c>
      <c r="AA76" s="1">
        <f t="shared" si="46"/>
        <v>7.5393389485511157</v>
      </c>
      <c r="AB76" s="1">
        <v>0</v>
      </c>
      <c r="AC76" s="1">
        <f t="shared" si="47"/>
        <v>0.9378869243888075</v>
      </c>
      <c r="AD76" s="133">
        <f t="shared" si="48"/>
        <v>0.9378869243888075</v>
      </c>
      <c r="AE76" s="132">
        <f t="shared" si="60"/>
        <v>2.5250836120401332</v>
      </c>
      <c r="AF76" s="1">
        <f t="shared" si="49"/>
        <v>4.3673247338622181</v>
      </c>
      <c r="AG76" s="1">
        <f t="shared" si="37"/>
        <v>0.38147050662009391</v>
      </c>
      <c r="AH76" s="1">
        <f t="shared" si="50"/>
        <v>0.42951837548179195</v>
      </c>
      <c r="AI76" s="133">
        <f t="shared" si="51"/>
        <v>0.8109888821018858</v>
      </c>
      <c r="AJ76" s="132">
        <f t="shared" si="52"/>
        <v>5</v>
      </c>
      <c r="AK76" s="1">
        <f t="shared" si="53"/>
        <v>6.145576169093923</v>
      </c>
      <c r="AL76" s="1">
        <f t="shared" si="38"/>
        <v>0.75536212900270272</v>
      </c>
      <c r="AM76" s="1">
        <f t="shared" si="54"/>
        <v>0.15427500000000002</v>
      </c>
      <c r="AN76" s="136">
        <f t="shared" si="61"/>
        <v>0.11658825501300631</v>
      </c>
      <c r="AO76" s="133">
        <f t="shared" si="55"/>
        <v>1.0262253840157092</v>
      </c>
      <c r="AP76" s="132">
        <f t="shared" si="39"/>
        <v>0.37231268816646595</v>
      </c>
      <c r="AQ76" s="137">
        <f t="shared" si="40"/>
        <v>0.9378869243888075</v>
      </c>
      <c r="AR76" s="137">
        <f t="shared" si="41"/>
        <v>4.1792977024202704E-2</v>
      </c>
      <c r="AS76" s="1">
        <f t="shared" si="42"/>
        <v>5.9279999999999999E-2</v>
      </c>
      <c r="AT76" s="133">
        <f t="shared" si="56"/>
        <v>4.7840000000000008E-2</v>
      </c>
      <c r="AU76" s="132">
        <f t="shared" si="57"/>
        <v>4.234213780085879</v>
      </c>
      <c r="AV76" s="1">
        <f t="shared" si="58"/>
        <v>90</v>
      </c>
      <c r="AW76" s="133">
        <f t="shared" si="59"/>
        <v>95.506712890959903</v>
      </c>
    </row>
    <row r="77" spans="17:49" x14ac:dyDescent="0.25">
      <c r="Q77">
        <v>70</v>
      </c>
      <c r="R77" s="132">
        <f t="shared" si="32"/>
        <v>18</v>
      </c>
      <c r="S77" s="1">
        <f t="shared" si="33"/>
        <v>5</v>
      </c>
      <c r="T77" s="1">
        <f t="shared" si="34"/>
        <v>11.966666666666667</v>
      </c>
      <c r="U77" s="133">
        <f t="shared" si="43"/>
        <v>7.5208913649025071</v>
      </c>
      <c r="V77" s="132">
        <f>IF(Calculations!$B$17=3,2,IF((S77*R77/T77)&lt;((T77*(1-(T77/R77)))/(2*Lm*fsw)),1,2))</f>
        <v>2</v>
      </c>
      <c r="W77" s="1">
        <f t="shared" si="44"/>
        <v>0.33518518518518514</v>
      </c>
      <c r="X77" s="133">
        <f t="shared" si="35"/>
        <v>0.66481481481481486</v>
      </c>
      <c r="Y77" s="132">
        <f t="shared" si="36"/>
        <v>1.6044197530864195</v>
      </c>
      <c r="Z77" s="1">
        <f t="shared" si="45"/>
        <v>8.3231012414457162</v>
      </c>
      <c r="AA77" s="1">
        <f t="shared" si="46"/>
        <v>7.5351390487948473</v>
      </c>
      <c r="AB77" s="1">
        <v>0</v>
      </c>
      <c r="AC77" s="1">
        <f t="shared" si="47"/>
        <v>0.93684228799710323</v>
      </c>
      <c r="AD77" s="133">
        <f t="shared" si="48"/>
        <v>0.93684228799710323</v>
      </c>
      <c r="AE77" s="132">
        <f t="shared" si="60"/>
        <v>2.5208913649025066</v>
      </c>
      <c r="AF77" s="1">
        <f t="shared" si="49"/>
        <v>4.3624823055410644</v>
      </c>
      <c r="AG77" s="1">
        <f t="shared" si="37"/>
        <v>0.38062503732317765</v>
      </c>
      <c r="AH77" s="1">
        <f t="shared" si="50"/>
        <v>0.42927908947873816</v>
      </c>
      <c r="AI77" s="133">
        <f t="shared" si="51"/>
        <v>0.80990412680191581</v>
      </c>
      <c r="AJ77" s="132">
        <f t="shared" si="52"/>
        <v>5</v>
      </c>
      <c r="AK77" s="1">
        <f t="shared" si="53"/>
        <v>6.1438643066488732</v>
      </c>
      <c r="AL77" s="1">
        <f t="shared" si="38"/>
        <v>0.75494137237028092</v>
      </c>
      <c r="AM77" s="1">
        <f t="shared" si="54"/>
        <v>0.15427500000000002</v>
      </c>
      <c r="AN77" s="136">
        <f t="shared" si="61"/>
        <v>0.11652341738024002</v>
      </c>
      <c r="AO77" s="133">
        <f t="shared" si="55"/>
        <v>1.0257397897505209</v>
      </c>
      <c r="AP77" s="132">
        <f t="shared" si="39"/>
        <v>0.37189799917460759</v>
      </c>
      <c r="AQ77" s="137">
        <f t="shared" si="40"/>
        <v>0.93684228799710323</v>
      </c>
      <c r="AR77" s="137">
        <f t="shared" si="41"/>
        <v>4.1740329007826392E-2</v>
      </c>
      <c r="AS77" s="1">
        <f t="shared" si="42"/>
        <v>5.9279999999999999E-2</v>
      </c>
      <c r="AT77" s="133">
        <f t="shared" si="56"/>
        <v>4.7866666666666668E-2</v>
      </c>
      <c r="AU77" s="132">
        <f t="shared" si="57"/>
        <v>4.2301134873957436</v>
      </c>
      <c r="AV77" s="1">
        <f t="shared" si="58"/>
        <v>90</v>
      </c>
      <c r="AW77" s="133">
        <f t="shared" si="59"/>
        <v>95.510868733102441</v>
      </c>
    </row>
    <row r="78" spans="17:49" x14ac:dyDescent="0.25">
      <c r="Q78">
        <v>71</v>
      </c>
      <c r="R78" s="132">
        <f t="shared" si="32"/>
        <v>18</v>
      </c>
      <c r="S78" s="1">
        <f t="shared" si="33"/>
        <v>5</v>
      </c>
      <c r="T78" s="1">
        <f t="shared" si="34"/>
        <v>11.973333333333333</v>
      </c>
      <c r="U78" s="133">
        <f t="shared" si="43"/>
        <v>7.5167037861915373</v>
      </c>
      <c r="V78" s="132">
        <f>IF(Calculations!$B$17=3,2,IF((S78*R78/T78)&lt;((T78*(1-(T78/R78)))/(2*Lm*fsw)),1,2))</f>
        <v>2</v>
      </c>
      <c r="W78" s="1">
        <f t="shared" si="44"/>
        <v>0.3348148148148149</v>
      </c>
      <c r="X78" s="133">
        <f t="shared" si="35"/>
        <v>0.6651851851851851</v>
      </c>
      <c r="Y78" s="132">
        <f t="shared" si="36"/>
        <v>1.6035397530864202</v>
      </c>
      <c r="Z78" s="1">
        <f t="shared" si="45"/>
        <v>8.318473662734748</v>
      </c>
      <c r="AA78" s="1">
        <f t="shared" si="46"/>
        <v>7.530943773591078</v>
      </c>
      <c r="AB78" s="1">
        <v>0</v>
      </c>
      <c r="AC78" s="1">
        <f t="shared" si="47"/>
        <v>0.9357993829963388</v>
      </c>
      <c r="AD78" s="133">
        <f t="shared" si="48"/>
        <v>0.9357993829963388</v>
      </c>
      <c r="AE78" s="132">
        <f t="shared" si="60"/>
        <v>2.5167037861915378</v>
      </c>
      <c r="AF78" s="1">
        <f t="shared" si="49"/>
        <v>4.3576439083087593</v>
      </c>
      <c r="AG78" s="1">
        <f t="shared" si="37"/>
        <v>0.37978120863240877</v>
      </c>
      <c r="AH78" s="1">
        <f t="shared" si="50"/>
        <v>0.42904006994116639</v>
      </c>
      <c r="AI78" s="133">
        <f t="shared" si="51"/>
        <v>0.80882127857357511</v>
      </c>
      <c r="AJ78" s="132">
        <f t="shared" si="52"/>
        <v>5</v>
      </c>
      <c r="AK78" s="1">
        <f t="shared" si="53"/>
        <v>6.1421538314641548</v>
      </c>
      <c r="AL78" s="1">
        <f t="shared" si="38"/>
        <v>0.75452107378739597</v>
      </c>
      <c r="AM78" s="1">
        <f t="shared" si="54"/>
        <v>0.15427500000000002</v>
      </c>
      <c r="AN78" s="136">
        <f t="shared" si="61"/>
        <v>0.11645863127828647</v>
      </c>
      <c r="AO78" s="133">
        <f t="shared" si="55"/>
        <v>1.0252547050656824</v>
      </c>
      <c r="AP78" s="132">
        <f t="shared" si="39"/>
        <v>0.37148399749248595</v>
      </c>
      <c r="AQ78" s="137">
        <f t="shared" si="40"/>
        <v>0.9357993829963388</v>
      </c>
      <c r="AR78" s="137">
        <f t="shared" si="41"/>
        <v>4.1687600232264525E-2</v>
      </c>
      <c r="AS78" s="1">
        <f t="shared" si="42"/>
        <v>5.9279999999999999E-2</v>
      </c>
      <c r="AT78" s="133">
        <f t="shared" si="56"/>
        <v>4.7893333333333329E-2</v>
      </c>
      <c r="AU78" s="132">
        <f t="shared" si="57"/>
        <v>4.2260196806900181</v>
      </c>
      <c r="AV78" s="1">
        <f t="shared" si="58"/>
        <v>90</v>
      </c>
      <c r="AW78" s="133">
        <f t="shared" si="59"/>
        <v>95.515018362219891</v>
      </c>
    </row>
    <row r="79" spans="17:49" x14ac:dyDescent="0.25">
      <c r="Q79">
        <v>72</v>
      </c>
      <c r="R79" s="132">
        <f t="shared" si="32"/>
        <v>18</v>
      </c>
      <c r="S79" s="1">
        <f t="shared" si="33"/>
        <v>5</v>
      </c>
      <c r="T79" s="1">
        <f t="shared" si="34"/>
        <v>11.98</v>
      </c>
      <c r="U79" s="133">
        <f t="shared" si="43"/>
        <v>7.5125208681135227</v>
      </c>
      <c r="V79" s="132">
        <f>IF(Calculations!$B$17=3,2,IF((S79*R79/T79)&lt;((T79*(1-(T79/R79)))/(2*Lm*fsw)),1,2))</f>
        <v>2</v>
      </c>
      <c r="W79" s="1">
        <f t="shared" si="44"/>
        <v>0.33444444444444443</v>
      </c>
      <c r="X79" s="133">
        <f t="shared" si="35"/>
        <v>0.66555555555555557</v>
      </c>
      <c r="Y79" s="132">
        <f t="shared" si="36"/>
        <v>1.6026577777777777</v>
      </c>
      <c r="Z79" s="1">
        <f t="shared" si="45"/>
        <v>8.3138497570024121</v>
      </c>
      <c r="AA79" s="1">
        <f t="shared" si="46"/>
        <v>7.5267531151595364</v>
      </c>
      <c r="AB79" s="1">
        <v>0</v>
      </c>
      <c r="AC79" s="1">
        <f t="shared" si="47"/>
        <v>0.93475820553330258</v>
      </c>
      <c r="AD79" s="133">
        <f t="shared" si="48"/>
        <v>0.93475820553330258</v>
      </c>
      <c r="AE79" s="132">
        <f t="shared" si="60"/>
        <v>2.5125208681135227</v>
      </c>
      <c r="AF79" s="1">
        <f t="shared" si="49"/>
        <v>4.3528095332434686</v>
      </c>
      <c r="AG79" s="1">
        <f t="shared" si="37"/>
        <v>0.37893901665390445</v>
      </c>
      <c r="AH79" s="1">
        <f t="shared" si="50"/>
        <v>0.42880131642422648</v>
      </c>
      <c r="AI79" s="133">
        <f t="shared" si="51"/>
        <v>0.80774033307813098</v>
      </c>
      <c r="AJ79" s="132">
        <f t="shared" si="52"/>
        <v>5</v>
      </c>
      <c r="AK79" s="1">
        <f t="shared" si="53"/>
        <v>6.1404447415369328</v>
      </c>
      <c r="AL79" s="1">
        <f t="shared" si="38"/>
        <v>0.75410123247737137</v>
      </c>
      <c r="AM79" s="1">
        <f t="shared" si="54"/>
        <v>0.15427500000000002</v>
      </c>
      <c r="AN79" s="136">
        <f t="shared" si="61"/>
        <v>0.11639389659803377</v>
      </c>
      <c r="AO79" s="133">
        <f t="shared" si="55"/>
        <v>1.0247701290754052</v>
      </c>
      <c r="AP79" s="132">
        <f t="shared" si="39"/>
        <v>0.37107068159049278</v>
      </c>
      <c r="AQ79" s="137">
        <f t="shared" si="40"/>
        <v>0.93475820553330258</v>
      </c>
      <c r="AR79" s="137">
        <f t="shared" si="41"/>
        <v>4.1634790945253804E-2</v>
      </c>
      <c r="AS79" s="1">
        <f t="shared" si="42"/>
        <v>5.9279999999999999E-2</v>
      </c>
      <c r="AT79" s="133">
        <f t="shared" si="56"/>
        <v>4.7920000000000004E-2</v>
      </c>
      <c r="AU79" s="132">
        <f t="shared" si="57"/>
        <v>4.2219323457558877</v>
      </c>
      <c r="AV79" s="1">
        <f t="shared" si="58"/>
        <v>90</v>
      </c>
      <c r="AW79" s="133">
        <f t="shared" si="59"/>
        <v>95.519161791053989</v>
      </c>
    </row>
    <row r="80" spans="17:49" x14ac:dyDescent="0.25">
      <c r="Q80">
        <v>73</v>
      </c>
      <c r="R80" s="132">
        <f t="shared" si="32"/>
        <v>18</v>
      </c>
      <c r="S80" s="1">
        <f t="shared" si="33"/>
        <v>5</v>
      </c>
      <c r="T80" s="1">
        <f t="shared" si="34"/>
        <v>11.986666666666666</v>
      </c>
      <c r="U80" s="133">
        <f t="shared" si="43"/>
        <v>7.5083426028921023</v>
      </c>
      <c r="V80" s="132">
        <f>IF(Calculations!$B$17=3,2,IF((S80*R80/T80)&lt;((T80*(1-(T80/R80)))/(2*Lm*fsw)),1,2))</f>
        <v>2</v>
      </c>
      <c r="W80" s="1">
        <f t="shared" si="44"/>
        <v>0.33407407407407408</v>
      </c>
      <c r="X80" s="133">
        <f t="shared" si="35"/>
        <v>0.66592592592592592</v>
      </c>
      <c r="Y80" s="132">
        <f t="shared" si="36"/>
        <v>1.6017738271604938</v>
      </c>
      <c r="Z80" s="1">
        <f t="shared" si="45"/>
        <v>8.3092295164723495</v>
      </c>
      <c r="AA80" s="1">
        <f t="shared" si="46"/>
        <v>7.5225670657375492</v>
      </c>
      <c r="AB80" s="1">
        <v>0</v>
      </c>
      <c r="AC80" s="1">
        <f t="shared" si="47"/>
        <v>0.93371875176556751</v>
      </c>
      <c r="AD80" s="133">
        <f t="shared" si="48"/>
        <v>0.93371875176556751</v>
      </c>
      <c r="AE80" s="132">
        <f t="shared" si="60"/>
        <v>2.5083426028921023</v>
      </c>
      <c r="AF80" s="1">
        <f t="shared" si="49"/>
        <v>4.3479791714374008</v>
      </c>
      <c r="AG80" s="1">
        <f t="shared" si="37"/>
        <v>0.37809845750506932</v>
      </c>
      <c r="AH80" s="1">
        <f t="shared" si="50"/>
        <v>0.42856282848405725</v>
      </c>
      <c r="AI80" s="133">
        <f t="shared" si="51"/>
        <v>0.80666128598912656</v>
      </c>
      <c r="AJ80" s="132">
        <f t="shared" si="52"/>
        <v>5</v>
      </c>
      <c r="AK80" s="1">
        <f t="shared" si="53"/>
        <v>6.1387370348684742</v>
      </c>
      <c r="AL80" s="1">
        <f t="shared" si="38"/>
        <v>0.75368184766531576</v>
      </c>
      <c r="AM80" s="1">
        <f t="shared" si="54"/>
        <v>0.15427500000000002</v>
      </c>
      <c r="AN80" s="136">
        <f t="shared" si="61"/>
        <v>0.11632921323061289</v>
      </c>
      <c r="AO80" s="133">
        <f t="shared" si="55"/>
        <v>1.0242860608959288</v>
      </c>
      <c r="AP80" s="132">
        <f t="shared" si="39"/>
        <v>0.37065804994330098</v>
      </c>
      <c r="AQ80" s="137">
        <f t="shared" si="40"/>
        <v>0.93371875176556751</v>
      </c>
      <c r="AR80" s="137">
        <f t="shared" si="41"/>
        <v>4.158190139501422E-2</v>
      </c>
      <c r="AS80" s="1">
        <f t="shared" si="42"/>
        <v>5.9279999999999999E-2</v>
      </c>
      <c r="AT80" s="133">
        <f t="shared" si="56"/>
        <v>4.7946666666666665E-2</v>
      </c>
      <c r="AU80" s="132">
        <f t="shared" si="57"/>
        <v>4.2178514684211725</v>
      </c>
      <c r="AV80" s="1">
        <f t="shared" si="58"/>
        <v>90</v>
      </c>
      <c r="AW80" s="133">
        <f t="shared" si="59"/>
        <v>95.523299032312508</v>
      </c>
    </row>
    <row r="81" spans="17:49" x14ac:dyDescent="0.25">
      <c r="Q81">
        <v>74</v>
      </c>
      <c r="R81" s="132">
        <f t="shared" si="32"/>
        <v>18</v>
      </c>
      <c r="S81" s="1">
        <f t="shared" si="33"/>
        <v>5</v>
      </c>
      <c r="T81" s="1">
        <f t="shared" si="34"/>
        <v>11.993333333333334</v>
      </c>
      <c r="U81" s="133">
        <f t="shared" si="43"/>
        <v>7.5041689827682037</v>
      </c>
      <c r="V81" s="132">
        <f>IF(Calculations!$B$17=3,2,IF((S81*R81/T81)&lt;((T81*(1-(T81/R81)))/(2*Lm*fsw)),1,2))</f>
        <v>2</v>
      </c>
      <c r="W81" s="1">
        <f t="shared" si="44"/>
        <v>0.33370370370370361</v>
      </c>
      <c r="X81" s="133">
        <f t="shared" si="35"/>
        <v>0.66629629629629639</v>
      </c>
      <c r="Y81" s="132">
        <f t="shared" si="36"/>
        <v>1.6008879012345676</v>
      </c>
      <c r="Z81" s="1">
        <f t="shared" si="45"/>
        <v>8.3046129333854868</v>
      </c>
      <c r="AA81" s="1">
        <f t="shared" si="46"/>
        <v>7.5183856175799901</v>
      </c>
      <c r="AB81" s="1">
        <v>0</v>
      </c>
      <c r="AC81" s="1">
        <f t="shared" si="47"/>
        <v>0.9326810178614553</v>
      </c>
      <c r="AD81" s="133">
        <f t="shared" si="48"/>
        <v>0.9326810178614553</v>
      </c>
      <c r="AE81" s="132">
        <f t="shared" si="60"/>
        <v>2.5041689827682037</v>
      </c>
      <c r="AF81" s="1">
        <f t="shared" si="49"/>
        <v>4.343152813996733</v>
      </c>
      <c r="AG81" s="1">
        <f t="shared" si="37"/>
        <v>0.37725952731455481</v>
      </c>
      <c r="AH81" s="1">
        <f t="shared" si="50"/>
        <v>0.42832460567778474</v>
      </c>
      <c r="AI81" s="133">
        <f t="shared" si="51"/>
        <v>0.80558413299233955</v>
      </c>
      <c r="AJ81" s="132">
        <f t="shared" si="52"/>
        <v>5</v>
      </c>
      <c r="AK81" s="1">
        <f t="shared" si="53"/>
        <v>6.1370307094641374</v>
      </c>
      <c r="AL81" s="1">
        <f t="shared" si="38"/>
        <v>0.75326291857811789</v>
      </c>
      <c r="AM81" s="1">
        <f t="shared" si="54"/>
        <v>0.15427500000000002</v>
      </c>
      <c r="AN81" s="136">
        <f t="shared" si="61"/>
        <v>0.11626458106739682</v>
      </c>
      <c r="AO81" s="133">
        <f t="shared" si="55"/>
        <v>1.0238024996455148</v>
      </c>
      <c r="AP81" s="132">
        <f t="shared" si="39"/>
        <v>0.37024610102985039</v>
      </c>
      <c r="AQ81" s="137">
        <f t="shared" si="40"/>
        <v>0.9326810178614553</v>
      </c>
      <c r="AR81" s="137">
        <f t="shared" si="41"/>
        <v>4.1528931830247584E-2</v>
      </c>
      <c r="AS81" s="1">
        <f t="shared" si="42"/>
        <v>5.9279999999999999E-2</v>
      </c>
      <c r="AT81" s="133">
        <f t="shared" si="56"/>
        <v>4.797333333333334E-2</v>
      </c>
      <c r="AU81" s="132">
        <f t="shared" si="57"/>
        <v>4.2137770345541954</v>
      </c>
      <c r="AV81" s="1">
        <f t="shared" si="58"/>
        <v>90</v>
      </c>
      <c r="AW81" s="133">
        <f t="shared" si="59"/>
        <v>95.527430098669399</v>
      </c>
    </row>
    <row r="82" spans="17:49" x14ac:dyDescent="0.25">
      <c r="Q82">
        <v>75</v>
      </c>
      <c r="R82" s="132">
        <f t="shared" si="32"/>
        <v>18</v>
      </c>
      <c r="S82" s="1">
        <f t="shared" si="33"/>
        <v>5</v>
      </c>
      <c r="T82" s="1">
        <f t="shared" si="34"/>
        <v>12</v>
      </c>
      <c r="U82" s="133">
        <f t="shared" si="43"/>
        <v>7.5</v>
      </c>
      <c r="V82" s="132">
        <f>IF(Calculations!$B$17=3,2,IF((S82*R82/T82)&lt;((T82*(1-(T82/R82)))/(2*Lm*fsw)),1,2))</f>
        <v>2</v>
      </c>
      <c r="W82" s="1">
        <f t="shared" si="44"/>
        <v>0.33333333333333337</v>
      </c>
      <c r="X82" s="133">
        <f t="shared" si="35"/>
        <v>0.66666666666666663</v>
      </c>
      <c r="Y82" s="132">
        <f t="shared" si="36"/>
        <v>1.6</v>
      </c>
      <c r="Z82" s="1">
        <f t="shared" si="45"/>
        <v>8.3000000000000007</v>
      </c>
      <c r="AA82" s="1">
        <f t="shared" si="46"/>
        <v>7.5142087629592336</v>
      </c>
      <c r="AB82" s="1">
        <v>0</v>
      </c>
      <c r="AC82" s="1">
        <f t="shared" si="47"/>
        <v>0.93164500000000017</v>
      </c>
      <c r="AD82" s="133">
        <f t="shared" si="48"/>
        <v>0.93164500000000017</v>
      </c>
      <c r="AE82" s="132">
        <f t="shared" si="60"/>
        <v>2.5000000000000004</v>
      </c>
      <c r="AF82" s="1">
        <f t="shared" si="49"/>
        <v>4.3383304520415589</v>
      </c>
      <c r="AG82" s="1">
        <f t="shared" si="37"/>
        <v>0.37642222222222232</v>
      </c>
      <c r="AH82" s="1">
        <f t="shared" si="50"/>
        <v>0.42808664756351938</v>
      </c>
      <c r="AI82" s="133">
        <f t="shared" si="51"/>
        <v>0.80450886978574165</v>
      </c>
      <c r="AJ82" s="132">
        <f t="shared" si="52"/>
        <v>5</v>
      </c>
      <c r="AK82" s="1">
        <f t="shared" si="53"/>
        <v>6.1353257633333724</v>
      </c>
      <c r="AL82" s="1">
        <f t="shared" si="38"/>
        <v>0.75284444444444465</v>
      </c>
      <c r="AM82" s="1">
        <f t="shared" si="54"/>
        <v>0.15427500000000002</v>
      </c>
      <c r="AN82" s="136">
        <f t="shared" si="61"/>
        <v>0.11620000000000001</v>
      </c>
      <c r="AO82" s="133">
        <f t="shared" si="55"/>
        <v>1.0233194444444447</v>
      </c>
      <c r="AP82" s="132">
        <f t="shared" si="39"/>
        <v>0.36983483333333333</v>
      </c>
      <c r="AQ82" s="137">
        <f t="shared" si="40"/>
        <v>0.93164500000000017</v>
      </c>
      <c r="AR82" s="137">
        <f t="shared" si="41"/>
        <v>4.147588250013759E-2</v>
      </c>
      <c r="AS82" s="1">
        <f t="shared" si="42"/>
        <v>5.9279999999999999E-2</v>
      </c>
      <c r="AT82" s="133">
        <f t="shared" si="56"/>
        <v>4.8000000000000001E-2</v>
      </c>
      <c r="AU82" s="132">
        <f t="shared" si="57"/>
        <v>4.2097090300636584</v>
      </c>
      <c r="AV82" s="1">
        <f t="shared" si="58"/>
        <v>90</v>
      </c>
      <c r="AW82" s="133">
        <f t="shared" si="59"/>
        <v>95.531555002764861</v>
      </c>
    </row>
    <row r="83" spans="17:49" x14ac:dyDescent="0.25">
      <c r="Q83">
        <v>76</v>
      </c>
      <c r="R83" s="132">
        <f t="shared" si="32"/>
        <v>18</v>
      </c>
      <c r="S83" s="1">
        <f t="shared" si="33"/>
        <v>5</v>
      </c>
      <c r="T83" s="1">
        <f t="shared" si="34"/>
        <v>12.006666666666666</v>
      </c>
      <c r="U83" s="133">
        <f t="shared" si="43"/>
        <v>7.4958356468628544</v>
      </c>
      <c r="V83" s="132">
        <f>IF(Calculations!$B$17=3,2,IF((S83*R83/T83)&lt;((T83*(1-(T83/R83)))/(2*Lm*fsw)),1,2))</f>
        <v>2</v>
      </c>
      <c r="W83" s="1">
        <f t="shared" si="44"/>
        <v>0.33296296296296302</v>
      </c>
      <c r="X83" s="133">
        <f t="shared" si="35"/>
        <v>0.66703703703703698</v>
      </c>
      <c r="Y83" s="132">
        <f t="shared" si="36"/>
        <v>1.5991101234567904</v>
      </c>
      <c r="Z83" s="1">
        <f t="shared" si="45"/>
        <v>8.2953907085912491</v>
      </c>
      <c r="AA83" s="1">
        <f t="shared" si="46"/>
        <v>7.5100364941651048</v>
      </c>
      <c r="AB83" s="1">
        <v>0</v>
      </c>
      <c r="AC83" s="1">
        <f t="shared" si="47"/>
        <v>0.93061069437091304</v>
      </c>
      <c r="AD83" s="133">
        <f t="shared" si="48"/>
        <v>0.93061069437091304</v>
      </c>
      <c r="AE83" s="132">
        <f t="shared" si="60"/>
        <v>2.4958356468628544</v>
      </c>
      <c r="AF83" s="1">
        <f t="shared" si="49"/>
        <v>4.3335120767058131</v>
      </c>
      <c r="AG83" s="1">
        <f t="shared" si="37"/>
        <v>0.37558653837910255</v>
      </c>
      <c r="AH83" s="1">
        <f t="shared" si="50"/>
        <v>0.42784895370035259</v>
      </c>
      <c r="AI83" s="133">
        <f t="shared" si="51"/>
        <v>0.80343549207945508</v>
      </c>
      <c r="AJ83" s="132">
        <f t="shared" si="52"/>
        <v>5</v>
      </c>
      <c r="AK83" s="1">
        <f t="shared" si="53"/>
        <v>6.1336221944896936</v>
      </c>
      <c r="AL83" s="1">
        <f t="shared" si="38"/>
        <v>0.75242642449473129</v>
      </c>
      <c r="AM83" s="1">
        <f t="shared" si="54"/>
        <v>0.15427500000000002</v>
      </c>
      <c r="AN83" s="136">
        <f t="shared" si="61"/>
        <v>0.11613546992027748</v>
      </c>
      <c r="AO83" s="133">
        <f t="shared" si="55"/>
        <v>1.0228368944150088</v>
      </c>
      <c r="AP83" s="132">
        <f t="shared" si="39"/>
        <v>0.36942424534118057</v>
      </c>
      <c r="AQ83" s="137">
        <f t="shared" si="40"/>
        <v>0.93061069437091304</v>
      </c>
      <c r="AR83" s="137">
        <f t="shared" si="41"/>
        <v>4.1422753654349075E-2</v>
      </c>
      <c r="AS83" s="1">
        <f t="shared" si="42"/>
        <v>5.9279999999999999E-2</v>
      </c>
      <c r="AT83" s="133">
        <f t="shared" si="56"/>
        <v>4.8026666666666662E-2</v>
      </c>
      <c r="AU83" s="132">
        <f t="shared" si="57"/>
        <v>4.2056474408984865</v>
      </c>
      <c r="AV83" s="1">
        <f t="shared" si="58"/>
        <v>90</v>
      </c>
      <c r="AW83" s="133">
        <f t="shared" si="59"/>
        <v>95.535673757205501</v>
      </c>
    </row>
    <row r="84" spans="17:49" x14ac:dyDescent="0.25">
      <c r="Q84">
        <v>77</v>
      </c>
      <c r="R84" s="132">
        <f t="shared" si="32"/>
        <v>18</v>
      </c>
      <c r="S84" s="1">
        <f t="shared" si="33"/>
        <v>5</v>
      </c>
      <c r="T84" s="1">
        <f t="shared" si="34"/>
        <v>12.013333333333334</v>
      </c>
      <c r="U84" s="133">
        <f t="shared" si="43"/>
        <v>7.491675915649278</v>
      </c>
      <c r="V84" s="132">
        <f>IF(Calculations!$B$17=3,2,IF((S84*R84/T84)&lt;((T84*(1-(T84/R84)))/(2*Lm*fsw)),1,2))</f>
        <v>2</v>
      </c>
      <c r="W84" s="1">
        <f t="shared" si="44"/>
        <v>0.33259259259259255</v>
      </c>
      <c r="X84" s="133">
        <f t="shared" si="35"/>
        <v>0.66740740740740745</v>
      </c>
      <c r="Y84" s="132">
        <f t="shared" si="36"/>
        <v>1.5982182716049382</v>
      </c>
      <c r="Z84" s="1">
        <f t="shared" si="45"/>
        <v>8.2907850514517474</v>
      </c>
      <c r="AA84" s="1">
        <f t="shared" si="46"/>
        <v>7.5058688035048355</v>
      </c>
      <c r="AB84" s="1">
        <v>0</v>
      </c>
      <c r="AC84" s="1">
        <f t="shared" si="47"/>
        <v>0.92957809717454742</v>
      </c>
      <c r="AD84" s="133">
        <f t="shared" si="48"/>
        <v>0.92957809717454742</v>
      </c>
      <c r="AE84" s="132">
        <f t="shared" si="60"/>
        <v>2.491675915649278</v>
      </c>
      <c r="AF84" s="1">
        <f t="shared" si="49"/>
        <v>4.328697679137222</v>
      </c>
      <c r="AG84" s="1">
        <f t="shared" si="37"/>
        <v>0.37475247194735944</v>
      </c>
      <c r="AH84" s="1">
        <f t="shared" si="50"/>
        <v>0.42761152364835453</v>
      </c>
      <c r="AI84" s="133">
        <f t="shared" si="51"/>
        <v>0.80236399559571403</v>
      </c>
      <c r="AJ84" s="132">
        <f t="shared" si="52"/>
        <v>5</v>
      </c>
      <c r="AK84" s="1">
        <f t="shared" si="53"/>
        <v>6.1319200009506911</v>
      </c>
      <c r="AL84" s="1">
        <f t="shared" si="38"/>
        <v>0.75200885796118244</v>
      </c>
      <c r="AM84" s="1">
        <f t="shared" si="54"/>
        <v>0.15427500000000002</v>
      </c>
      <c r="AN84" s="136">
        <f t="shared" si="61"/>
        <v>0.11607099072032447</v>
      </c>
      <c r="AO84" s="133">
        <f t="shared" si="55"/>
        <v>1.0223548486815071</v>
      </c>
      <c r="AP84" s="132">
        <f t="shared" si="39"/>
        <v>0.36901433554504759</v>
      </c>
      <c r="AQ84" s="137">
        <f t="shared" si="40"/>
        <v>0.92957809717454742</v>
      </c>
      <c r="AR84" s="137">
        <f t="shared" si="41"/>
        <v>4.1369545543027485E-2</v>
      </c>
      <c r="AS84" s="1">
        <f t="shared" si="42"/>
        <v>5.9279999999999999E-2</v>
      </c>
      <c r="AT84" s="133">
        <f t="shared" si="56"/>
        <v>4.8053333333333337E-2</v>
      </c>
      <c r="AU84" s="132">
        <f t="shared" si="57"/>
        <v>4.2015922530477239</v>
      </c>
      <c r="AV84" s="1">
        <f t="shared" si="58"/>
        <v>90</v>
      </c>
      <c r="AW84" s="133">
        <f t="shared" si="59"/>
        <v>95.5397863745644</v>
      </c>
    </row>
    <row r="85" spans="17:49" x14ac:dyDescent="0.25">
      <c r="Q85">
        <v>78</v>
      </c>
      <c r="R85" s="132">
        <f t="shared" si="32"/>
        <v>18</v>
      </c>
      <c r="S85" s="1">
        <f t="shared" si="33"/>
        <v>5</v>
      </c>
      <c r="T85" s="1">
        <f t="shared" si="34"/>
        <v>12.02</v>
      </c>
      <c r="U85" s="133">
        <f t="shared" si="43"/>
        <v>7.4875207986688856</v>
      </c>
      <c r="V85" s="132">
        <f>IF(Calculations!$B$17=3,2,IF((S85*R85/T85)&lt;((T85*(1-(T85/R85)))/(2*Lm*fsw)),1,2))</f>
        <v>2</v>
      </c>
      <c r="W85" s="1">
        <f t="shared" si="44"/>
        <v>0.3322222222222222</v>
      </c>
      <c r="X85" s="133">
        <f t="shared" si="35"/>
        <v>0.6677777777777778</v>
      </c>
      <c r="Y85" s="132">
        <f t="shared" si="36"/>
        <v>1.5973244444444443</v>
      </c>
      <c r="Z85" s="1">
        <f t="shared" si="45"/>
        <v>8.2861830208911087</v>
      </c>
      <c r="AA85" s="1">
        <f t="shared" si="46"/>
        <v>7.5017056833030171</v>
      </c>
      <c r="AB85" s="1">
        <v>0</v>
      </c>
      <c r="AC85" s="1">
        <f t="shared" si="47"/>
        <v>0.92854720462186302</v>
      </c>
      <c r="AD85" s="133">
        <f t="shared" si="48"/>
        <v>0.92854720462186302</v>
      </c>
      <c r="AE85" s="132">
        <f t="shared" si="60"/>
        <v>2.4875207986688852</v>
      </c>
      <c r="AF85" s="1">
        <f t="shared" si="49"/>
        <v>4.3238872504972425</v>
      </c>
      <c r="AG85" s="1">
        <f t="shared" si="37"/>
        <v>0.37392001910025208</v>
      </c>
      <c r="AH85" s="1">
        <f t="shared" si="50"/>
        <v>0.42737435696857173</v>
      </c>
      <c r="AI85" s="133">
        <f t="shared" si="51"/>
        <v>0.80129437606882381</v>
      </c>
      <c r="AJ85" s="132">
        <f t="shared" si="52"/>
        <v>5.0000000000000009</v>
      </c>
      <c r="AK85" s="1">
        <f t="shared" si="53"/>
        <v>6.1302191807380106</v>
      </c>
      <c r="AL85" s="1">
        <f t="shared" si="38"/>
        <v>0.75159174407776419</v>
      </c>
      <c r="AM85" s="1">
        <f t="shared" si="54"/>
        <v>0.15427500000000002</v>
      </c>
      <c r="AN85" s="136">
        <f t="shared" si="61"/>
        <v>0.11600656229247552</v>
      </c>
      <c r="AO85" s="133">
        <f t="shared" si="55"/>
        <v>1.0218733063702397</v>
      </c>
      <c r="AP85" s="132">
        <f t="shared" si="39"/>
        <v>0.36860510244080014</v>
      </c>
      <c r="AQ85" s="137">
        <f t="shared" si="40"/>
        <v>0.92854720462186302</v>
      </c>
      <c r="AR85" s="137">
        <f t="shared" si="41"/>
        <v>4.1316258416798694E-2</v>
      </c>
      <c r="AS85" s="1">
        <f t="shared" si="42"/>
        <v>5.9279999999999999E-2</v>
      </c>
      <c r="AT85" s="133">
        <f t="shared" si="56"/>
        <v>4.8079999999999998E-2</v>
      </c>
      <c r="AU85" s="132">
        <f t="shared" si="57"/>
        <v>4.1975434525403879</v>
      </c>
      <c r="AV85" s="1">
        <f t="shared" si="58"/>
        <v>90</v>
      </c>
      <c r="AW85" s="133">
        <f t="shared" si="59"/>
        <v>95.543892867381146</v>
      </c>
    </row>
    <row r="86" spans="17:49" x14ac:dyDescent="0.25">
      <c r="Q86">
        <v>79</v>
      </c>
      <c r="R86" s="132">
        <f t="shared" si="32"/>
        <v>18</v>
      </c>
      <c r="S86" s="1">
        <f t="shared" si="33"/>
        <v>5</v>
      </c>
      <c r="T86" s="1">
        <f t="shared" si="34"/>
        <v>12.026666666666667</v>
      </c>
      <c r="U86" s="133">
        <f t="shared" si="43"/>
        <v>7.4833702882483371</v>
      </c>
      <c r="V86" s="132">
        <f>IF(Calculations!$B$17=3,2,IF((S86*R86/T86)&lt;((T86*(1-(T86/R86)))/(2*Lm*fsw)),1,2))</f>
        <v>2</v>
      </c>
      <c r="W86" s="1">
        <f t="shared" si="44"/>
        <v>0.33185185185185184</v>
      </c>
      <c r="X86" s="133">
        <f t="shared" si="35"/>
        <v>0.66814814814814816</v>
      </c>
      <c r="Y86" s="132">
        <f t="shared" si="36"/>
        <v>1.5964286419753086</v>
      </c>
      <c r="Z86" s="1">
        <f t="shared" si="45"/>
        <v>8.2815846092359919</v>
      </c>
      <c r="AA86" s="1">
        <f t="shared" si="46"/>
        <v>7.4975471259015505</v>
      </c>
      <c r="AB86" s="1">
        <v>0</v>
      </c>
      <c r="AC86" s="1">
        <f t="shared" si="47"/>
        <v>0.92751801293439096</v>
      </c>
      <c r="AD86" s="133">
        <f t="shared" si="48"/>
        <v>0.92751801293439096</v>
      </c>
      <c r="AE86" s="132">
        <f t="shared" si="60"/>
        <v>2.4833702882483371</v>
      </c>
      <c r="AF86" s="1">
        <f t="shared" si="49"/>
        <v>4.3190807819609827</v>
      </c>
      <c r="AG86" s="1">
        <f t="shared" si="37"/>
        <v>0.37308917602209385</v>
      </c>
      <c r="AH86" s="1">
        <f t="shared" si="50"/>
        <v>0.42713745322302377</v>
      </c>
      <c r="AI86" s="133">
        <f t="shared" si="51"/>
        <v>0.80022662924511767</v>
      </c>
      <c r="AJ86" s="132">
        <f t="shared" si="52"/>
        <v>5</v>
      </c>
      <c r="AK86" s="1">
        <f t="shared" si="53"/>
        <v>6.1285197318773399</v>
      </c>
      <c r="AL86" s="1">
        <f t="shared" si="38"/>
        <v>0.75117508208019801</v>
      </c>
      <c r="AM86" s="1">
        <f t="shared" si="54"/>
        <v>0.15427500000000002</v>
      </c>
      <c r="AN86" s="136">
        <f t="shared" si="61"/>
        <v>0.1159421845293039</v>
      </c>
      <c r="AO86" s="133">
        <f t="shared" si="55"/>
        <v>1.0213922666095019</v>
      </c>
      <c r="AP86" s="132">
        <f t="shared" si="39"/>
        <v>0.36819654452850059</v>
      </c>
      <c r="AQ86" s="137">
        <f t="shared" si="40"/>
        <v>0.92751801293439096</v>
      </c>
      <c r="AR86" s="137">
        <f t="shared" si="41"/>
        <v>4.1262892526767875E-2</v>
      </c>
      <c r="AS86" s="1">
        <f t="shared" si="42"/>
        <v>5.9279999999999999E-2</v>
      </c>
      <c r="AT86" s="133">
        <f t="shared" si="56"/>
        <v>4.8106666666666673E-2</v>
      </c>
      <c r="AU86" s="132">
        <f t="shared" si="57"/>
        <v>4.1935010254453369</v>
      </c>
      <c r="AV86" s="1">
        <f t="shared" si="58"/>
        <v>90</v>
      </c>
      <c r="AW86" s="133">
        <f t="shared" si="59"/>
        <v>95.547993248162086</v>
      </c>
    </row>
    <row r="87" spans="17:49" x14ac:dyDescent="0.25">
      <c r="Q87">
        <v>80</v>
      </c>
      <c r="R87" s="132">
        <f t="shared" si="32"/>
        <v>18</v>
      </c>
      <c r="S87" s="1">
        <f t="shared" si="33"/>
        <v>5</v>
      </c>
      <c r="T87" s="1">
        <f t="shared" si="34"/>
        <v>12.033333333333333</v>
      </c>
      <c r="U87" s="133">
        <f t="shared" si="43"/>
        <v>7.4792243767313016</v>
      </c>
      <c r="V87" s="132">
        <f>IF(Calculations!$B$17=3,2,IF((S87*R87/T87)&lt;((T87*(1-(T87/R87)))/(2*Lm*fsw)),1,2))</f>
        <v>2</v>
      </c>
      <c r="W87" s="1">
        <f t="shared" si="44"/>
        <v>0.33148148148148149</v>
      </c>
      <c r="X87" s="133">
        <f t="shared" si="35"/>
        <v>0.66851851851851851</v>
      </c>
      <c r="Y87" s="132">
        <f t="shared" si="36"/>
        <v>1.595530864197531</v>
      </c>
      <c r="Z87" s="1">
        <f t="shared" si="45"/>
        <v>8.2769898088300664</v>
      </c>
      <c r="AA87" s="1">
        <f t="shared" si="46"/>
        <v>7.4933931236596001</v>
      </c>
      <c r="AB87" s="1">
        <v>0</v>
      </c>
      <c r="AC87" s="1">
        <f t="shared" si="47"/>
        <v>0.92649051834419827</v>
      </c>
      <c r="AD87" s="133">
        <f t="shared" si="48"/>
        <v>0.92649051834419827</v>
      </c>
      <c r="AE87" s="132">
        <f t="shared" si="60"/>
        <v>2.479224376731302</v>
      </c>
      <c r="AF87" s="1">
        <f t="shared" si="49"/>
        <v>4.3142782647171627</v>
      </c>
      <c r="AG87" s="1">
        <f t="shared" si="37"/>
        <v>0.37225993890821862</v>
      </c>
      <c r="AH87" s="1">
        <f t="shared" si="50"/>
        <v>0.42690081197470076</v>
      </c>
      <c r="AI87" s="133">
        <f t="shared" si="51"/>
        <v>0.79916075088291938</v>
      </c>
      <c r="AJ87" s="132">
        <f t="shared" si="52"/>
        <v>5</v>
      </c>
      <c r="AK87" s="1">
        <f t="shared" si="53"/>
        <v>6.126821652398414</v>
      </c>
      <c r="AL87" s="1">
        <f t="shared" si="38"/>
        <v>0.75075887120596063</v>
      </c>
      <c r="AM87" s="1">
        <f t="shared" si="54"/>
        <v>0.15427500000000002</v>
      </c>
      <c r="AN87" s="136">
        <f t="shared" si="61"/>
        <v>0.11587785732362094</v>
      </c>
      <c r="AO87" s="133">
        <f t="shared" si="55"/>
        <v>1.0209117285295817</v>
      </c>
      <c r="AP87" s="132">
        <f t="shared" si="39"/>
        <v>0.36778866031239377</v>
      </c>
      <c r="AQ87" s="137">
        <f t="shared" si="40"/>
        <v>0.92649051834419827</v>
      </c>
      <c r="AR87" s="137">
        <f t="shared" si="41"/>
        <v>4.1209448124519293E-2</v>
      </c>
      <c r="AS87" s="1">
        <f t="shared" si="42"/>
        <v>5.9279999999999999E-2</v>
      </c>
      <c r="AT87" s="133">
        <f t="shared" si="56"/>
        <v>4.8133333333333334E-2</v>
      </c>
      <c r="AU87" s="132">
        <f t="shared" si="57"/>
        <v>4.1894649578711443</v>
      </c>
      <c r="AV87" s="1">
        <f t="shared" si="58"/>
        <v>90</v>
      </c>
      <c r="AW87" s="133">
        <f t="shared" si="59"/>
        <v>95.552087529380287</v>
      </c>
    </row>
    <row r="88" spans="17:49" x14ac:dyDescent="0.25">
      <c r="Q88">
        <v>81</v>
      </c>
      <c r="R88" s="132">
        <f t="shared" si="32"/>
        <v>18</v>
      </c>
      <c r="S88" s="1">
        <f t="shared" si="33"/>
        <v>5</v>
      </c>
      <c r="T88" s="1">
        <f t="shared" si="34"/>
        <v>12.04</v>
      </c>
      <c r="U88" s="133">
        <f t="shared" si="43"/>
        <v>7.4750830564784057</v>
      </c>
      <c r="V88" s="132">
        <f>IF(Calculations!$B$17=3,2,IF((S88*R88/T88)&lt;((T88*(1-(T88/R88)))/(2*Lm*fsw)),1,2))</f>
        <v>2</v>
      </c>
      <c r="W88" s="1">
        <f t="shared" si="44"/>
        <v>0.33111111111111113</v>
      </c>
      <c r="X88" s="133">
        <f t="shared" si="35"/>
        <v>0.66888888888888887</v>
      </c>
      <c r="Y88" s="132">
        <f t="shared" si="36"/>
        <v>1.5946311111111111</v>
      </c>
      <c r="Z88" s="1">
        <f t="shared" si="45"/>
        <v>8.2723986120339603</v>
      </c>
      <c r="AA88" s="1">
        <f t="shared" si="46"/>
        <v>7.4892436689535504</v>
      </c>
      <c r="AB88" s="1">
        <v>0</v>
      </c>
      <c r="AC88" s="1">
        <f t="shared" si="47"/>
        <v>0.92546471709385392</v>
      </c>
      <c r="AD88" s="133">
        <f t="shared" si="48"/>
        <v>0.92546471709385392</v>
      </c>
      <c r="AE88" s="132">
        <f t="shared" si="60"/>
        <v>2.4750830564784057</v>
      </c>
      <c r="AF88" s="1">
        <f t="shared" si="49"/>
        <v>4.3094796899680388</v>
      </c>
      <c r="AG88" s="1">
        <f t="shared" si="37"/>
        <v>0.37143230396494048</v>
      </c>
      <c r="AH88" s="1">
        <f t="shared" si="50"/>
        <v>0.42666443278756089</v>
      </c>
      <c r="AI88" s="133">
        <f t="shared" si="51"/>
        <v>0.79809673675250137</v>
      </c>
      <c r="AJ88" s="132">
        <f t="shared" si="52"/>
        <v>5</v>
      </c>
      <c r="AK88" s="1">
        <f t="shared" si="53"/>
        <v>6.1251249403349961</v>
      </c>
      <c r="AL88" s="1">
        <f t="shared" si="38"/>
        <v>0.75034311069427573</v>
      </c>
      <c r="AM88" s="1">
        <f t="shared" si="54"/>
        <v>0.15427500000000002</v>
      </c>
      <c r="AN88" s="136">
        <f t="shared" si="61"/>
        <v>0.11581358056847545</v>
      </c>
      <c r="AO88" s="133">
        <f t="shared" si="55"/>
        <v>1.0204316912627511</v>
      </c>
      <c r="AP88" s="132">
        <f t="shared" si="39"/>
        <v>0.36738144830089348</v>
      </c>
      <c r="AQ88" s="137">
        <f t="shared" si="40"/>
        <v>0.92546471709385392</v>
      </c>
      <c r="AR88" s="137">
        <f t="shared" si="41"/>
        <v>4.115592546211562E-2</v>
      </c>
      <c r="AS88" s="1">
        <f t="shared" si="42"/>
        <v>5.9279999999999999E-2</v>
      </c>
      <c r="AT88" s="133">
        <f t="shared" si="56"/>
        <v>4.8159999999999994E-2</v>
      </c>
      <c r="AU88" s="132">
        <f t="shared" si="57"/>
        <v>4.1854352359659703</v>
      </c>
      <c r="AV88" s="1">
        <f t="shared" si="58"/>
        <v>90</v>
      </c>
      <c r="AW88" s="133">
        <f t="shared" si="59"/>
        <v>95.556175723475661</v>
      </c>
    </row>
    <row r="89" spans="17:49" x14ac:dyDescent="0.25">
      <c r="Q89">
        <v>82</v>
      </c>
      <c r="R89" s="132">
        <f t="shared" si="32"/>
        <v>18</v>
      </c>
      <c r="S89" s="1">
        <f t="shared" si="33"/>
        <v>5</v>
      </c>
      <c r="T89" s="1">
        <f t="shared" si="34"/>
        <v>12.046666666666667</v>
      </c>
      <c r="U89" s="133">
        <f t="shared" si="43"/>
        <v>7.470946319867183</v>
      </c>
      <c r="V89" s="132">
        <f>IF(Calculations!$B$17=3,2,IF((S89*R89/T89)&lt;((T89*(1-(T89/R89)))/(2*Lm*fsw)),1,2))</f>
        <v>2</v>
      </c>
      <c r="W89" s="1">
        <f t="shared" si="44"/>
        <v>0.33074074074074078</v>
      </c>
      <c r="X89" s="133">
        <f t="shared" si="35"/>
        <v>0.66925925925925922</v>
      </c>
      <c r="Y89" s="132">
        <f t="shared" si="36"/>
        <v>1.5937293827160495</v>
      </c>
      <c r="Z89" s="1">
        <f t="shared" si="45"/>
        <v>8.2678110112252075</v>
      </c>
      <c r="AA89" s="1">
        <f t="shared" si="46"/>
        <v>7.4850987541769536</v>
      </c>
      <c r="AB89" s="1">
        <v>0</v>
      </c>
      <c r="AC89" s="1">
        <f t="shared" si="47"/>
        <v>0.92444060543639284</v>
      </c>
      <c r="AD89" s="133">
        <f t="shared" si="48"/>
        <v>0.92444060543639284</v>
      </c>
      <c r="AE89" s="132">
        <f t="shared" si="60"/>
        <v>2.4709463198671835</v>
      </c>
      <c r="AF89" s="1">
        <f t="shared" si="49"/>
        <v>4.3046850489293451</v>
      </c>
      <c r="AG89" s="1">
        <f t="shared" si="37"/>
        <v>0.37060626740951674</v>
      </c>
      <c r="AH89" s="1">
        <f t="shared" si="50"/>
        <v>0.4264283152265273</v>
      </c>
      <c r="AI89" s="133">
        <f t="shared" si="51"/>
        <v>0.7970345826360441</v>
      </c>
      <c r="AJ89" s="132">
        <f t="shared" si="52"/>
        <v>5</v>
      </c>
      <c r="AK89" s="1">
        <f t="shared" si="53"/>
        <v>6.1234295937248708</v>
      </c>
      <c r="AL89" s="1">
        <f t="shared" si="38"/>
        <v>0.74992779978611068</v>
      </c>
      <c r="AM89" s="1">
        <f t="shared" si="54"/>
        <v>0.15427500000000002</v>
      </c>
      <c r="AN89" s="136">
        <f t="shared" si="61"/>
        <v>0.1157493541571529</v>
      </c>
      <c r="AO89" s="133">
        <f t="shared" si="55"/>
        <v>1.0199521539432637</v>
      </c>
      <c r="AP89" s="132">
        <f t="shared" si="39"/>
        <v>0.36697490700656799</v>
      </c>
      <c r="AQ89" s="137">
        <f t="shared" si="40"/>
        <v>0.92444060543639284</v>
      </c>
      <c r="AR89" s="137">
        <f t="shared" si="41"/>
        <v>4.1102324792097696E-2</v>
      </c>
      <c r="AS89" s="1">
        <f t="shared" si="42"/>
        <v>5.9279999999999999E-2</v>
      </c>
      <c r="AT89" s="133">
        <f t="shared" si="56"/>
        <v>4.8186666666666669E-2</v>
      </c>
      <c r="AU89" s="132">
        <f t="shared" si="57"/>
        <v>4.1814118459174257</v>
      </c>
      <c r="AV89" s="1">
        <f t="shared" si="58"/>
        <v>90</v>
      </c>
      <c r="AW89" s="133">
        <f t="shared" si="59"/>
        <v>95.560257842855137</v>
      </c>
    </row>
    <row r="90" spans="17:49" x14ac:dyDescent="0.25">
      <c r="Q90">
        <v>83</v>
      </c>
      <c r="R90" s="132">
        <f t="shared" si="32"/>
        <v>18</v>
      </c>
      <c r="S90" s="1">
        <f t="shared" si="33"/>
        <v>5</v>
      </c>
      <c r="T90" s="1">
        <f t="shared" si="34"/>
        <v>12.053333333333333</v>
      </c>
      <c r="U90" s="133">
        <f t="shared" si="43"/>
        <v>7.4668141592920358</v>
      </c>
      <c r="V90" s="132">
        <f>IF(Calculations!$B$17=3,2,IF((S90*R90/T90)&lt;((T90*(1-(T90/R90)))/(2*Lm*fsw)),1,2))</f>
        <v>2</v>
      </c>
      <c r="W90" s="1">
        <f t="shared" si="44"/>
        <v>0.33037037037037043</v>
      </c>
      <c r="X90" s="133">
        <f t="shared" si="35"/>
        <v>0.66962962962962957</v>
      </c>
      <c r="Y90" s="132">
        <f t="shared" si="36"/>
        <v>1.5928256790123458</v>
      </c>
      <c r="Z90" s="1">
        <f t="shared" si="45"/>
        <v>8.2632269987982081</v>
      </c>
      <c r="AA90" s="1">
        <f t="shared" si="46"/>
        <v>7.4809583717404902</v>
      </c>
      <c r="AB90" s="1">
        <v>0</v>
      </c>
      <c r="AC90" s="1">
        <f t="shared" si="47"/>
        <v>0.92341817963528305</v>
      </c>
      <c r="AD90" s="133">
        <f t="shared" si="48"/>
        <v>0.92341817963528305</v>
      </c>
      <c r="AE90" s="132">
        <f t="shared" si="60"/>
        <v>2.4668141592920358</v>
      </c>
      <c r="AF90" s="1">
        <f t="shared" si="49"/>
        <v>4.2998943328302337</v>
      </c>
      <c r="AG90" s="1">
        <f t="shared" si="37"/>
        <v>0.36978182547011124</v>
      </c>
      <c r="AH90" s="1">
        <f t="shared" si="50"/>
        <v>0.42619245885748613</v>
      </c>
      <c r="AI90" s="133">
        <f t="shared" si="51"/>
        <v>0.79597428432759743</v>
      </c>
      <c r="AJ90" s="132">
        <f t="shared" si="52"/>
        <v>5</v>
      </c>
      <c r="AK90" s="1">
        <f t="shared" si="53"/>
        <v>6.1217356106098348</v>
      </c>
      <c r="AL90" s="1">
        <f t="shared" si="38"/>
        <v>0.74951293772417138</v>
      </c>
      <c r="AM90" s="1">
        <f t="shared" si="54"/>
        <v>0.15427500000000002</v>
      </c>
      <c r="AN90" s="136">
        <f t="shared" si="61"/>
        <v>0.11568517798317492</v>
      </c>
      <c r="AO90" s="133">
        <f t="shared" si="55"/>
        <v>1.0194731157073464</v>
      </c>
      <c r="AP90" s="132">
        <f t="shared" si="39"/>
        <v>0.36656903494612747</v>
      </c>
      <c r="AQ90" s="137">
        <f t="shared" si="40"/>
        <v>0.92341817963528305</v>
      </c>
      <c r="AR90" s="137">
        <f t="shared" si="41"/>
        <v>4.1048646367483586E-2</v>
      </c>
      <c r="AS90" s="1">
        <f t="shared" si="42"/>
        <v>5.9279999999999999E-2</v>
      </c>
      <c r="AT90" s="133">
        <f t="shared" si="56"/>
        <v>4.821333333333333E-2</v>
      </c>
      <c r="AU90" s="132">
        <f t="shared" si="57"/>
        <v>4.1773947739524546</v>
      </c>
      <c r="AV90" s="1">
        <f t="shared" si="58"/>
        <v>90</v>
      </c>
      <c r="AW90" s="133">
        <f t="shared" si="59"/>
        <v>95.564333899892674</v>
      </c>
    </row>
    <row r="91" spans="17:49" x14ac:dyDescent="0.25">
      <c r="Q91">
        <v>84</v>
      </c>
      <c r="R91" s="132">
        <f t="shared" si="32"/>
        <v>18</v>
      </c>
      <c r="S91" s="1">
        <f t="shared" si="33"/>
        <v>5</v>
      </c>
      <c r="T91" s="1">
        <f t="shared" si="34"/>
        <v>12.06</v>
      </c>
      <c r="U91" s="133">
        <f t="shared" si="43"/>
        <v>7.4626865671641784</v>
      </c>
      <c r="V91" s="132">
        <f>IF(Calculations!$B$17=3,2,IF((S91*R91/T91)&lt;((T91*(1-(T91/R91)))/(2*Lm*fsw)),1,2))</f>
        <v>2</v>
      </c>
      <c r="W91" s="1">
        <f t="shared" si="44"/>
        <v>0.32999999999999996</v>
      </c>
      <c r="X91" s="133">
        <f t="shared" si="35"/>
        <v>0.67</v>
      </c>
      <c r="Y91" s="132">
        <f t="shared" si="36"/>
        <v>1.5919199999999998</v>
      </c>
      <c r="Z91" s="1">
        <f t="shared" si="45"/>
        <v>8.2586465671641776</v>
      </c>
      <c r="AA91" s="1">
        <f t="shared" si="46"/>
        <v>7.4768225140719142</v>
      </c>
      <c r="AB91" s="1">
        <v>0</v>
      </c>
      <c r="AC91" s="1">
        <f t="shared" si="47"/>
        <v>0.92239743596438895</v>
      </c>
      <c r="AD91" s="133">
        <f t="shared" si="48"/>
        <v>0.92239743596438895</v>
      </c>
      <c r="AE91" s="132">
        <f t="shared" si="60"/>
        <v>2.4626865671641784</v>
      </c>
      <c r="AF91" s="1">
        <f t="shared" si="49"/>
        <v>4.2951075329132067</v>
      </c>
      <c r="AG91" s="1">
        <f t="shared" si="37"/>
        <v>0.36895897438575548</v>
      </c>
      <c r="AH91" s="1">
        <f t="shared" si="50"/>
        <v>0.42595686324728299</v>
      </c>
      <c r="AI91" s="133">
        <f t="shared" si="51"/>
        <v>0.79491583763303852</v>
      </c>
      <c r="AJ91" s="132">
        <f t="shared" si="52"/>
        <v>5</v>
      </c>
      <c r="AK91" s="1">
        <f t="shared" si="53"/>
        <v>6.1200429890356887</v>
      </c>
      <c r="AL91" s="1">
        <f t="shared" si="38"/>
        <v>0.74909852375289776</v>
      </c>
      <c r="AM91" s="1">
        <f t="shared" si="54"/>
        <v>0.15427500000000002</v>
      </c>
      <c r="AN91" s="136">
        <f t="shared" si="61"/>
        <v>0.11562105194029849</v>
      </c>
      <c r="AO91" s="133">
        <f t="shared" si="55"/>
        <v>1.0189945756931964</v>
      </c>
      <c r="AP91" s="132">
        <f t="shared" si="39"/>
        <v>0.36616383064040886</v>
      </c>
      <c r="AQ91" s="137">
        <f t="shared" si="40"/>
        <v>0.92239743596438895</v>
      </c>
      <c r="AR91" s="137">
        <f t="shared" si="41"/>
        <v>4.0994890441768073E-2</v>
      </c>
      <c r="AS91" s="1">
        <f t="shared" si="42"/>
        <v>5.9279999999999999E-2</v>
      </c>
      <c r="AT91" s="133">
        <f t="shared" si="56"/>
        <v>4.8240000000000005E-2</v>
      </c>
      <c r="AU91" s="132">
        <f t="shared" si="57"/>
        <v>4.1733840063371899</v>
      </c>
      <c r="AV91" s="1">
        <f t="shared" si="58"/>
        <v>90</v>
      </c>
      <c r="AW91" s="133">
        <f t="shared" si="59"/>
        <v>95.568403906929419</v>
      </c>
    </row>
    <row r="92" spans="17:49" x14ac:dyDescent="0.25">
      <c r="Q92">
        <v>85</v>
      </c>
      <c r="R92" s="132">
        <f t="shared" si="32"/>
        <v>18</v>
      </c>
      <c r="S92" s="1">
        <f t="shared" si="33"/>
        <v>5</v>
      </c>
      <c r="T92" s="1">
        <f t="shared" si="34"/>
        <v>12.066666666666666</v>
      </c>
      <c r="U92" s="133">
        <f t="shared" si="43"/>
        <v>7.458563535911602</v>
      </c>
      <c r="V92" s="132">
        <f>IF(Calculations!$B$17=3,2,IF((S92*R92/T92)&lt;((T92*(1-(T92/R92)))/(2*Lm*fsw)),1,2))</f>
        <v>2</v>
      </c>
      <c r="W92" s="1">
        <f t="shared" si="44"/>
        <v>0.32962962962962961</v>
      </c>
      <c r="X92" s="133">
        <f t="shared" si="35"/>
        <v>0.67037037037037039</v>
      </c>
      <c r="Y92" s="132">
        <f t="shared" si="36"/>
        <v>1.5910123456790122</v>
      </c>
      <c r="Z92" s="1">
        <f t="shared" si="45"/>
        <v>8.2540697087511088</v>
      </c>
      <c r="AA92" s="1">
        <f t="shared" si="46"/>
        <v>7.4726911736160195</v>
      </c>
      <c r="AB92" s="1">
        <v>0</v>
      </c>
      <c r="AC92" s="1">
        <f t="shared" si="47"/>
        <v>0.92137837070793971</v>
      </c>
      <c r="AD92" s="133">
        <f t="shared" si="48"/>
        <v>0.92137837070793971</v>
      </c>
      <c r="AE92" s="132">
        <f t="shared" si="60"/>
        <v>2.458563535911602</v>
      </c>
      <c r="AF92" s="1">
        <f t="shared" si="49"/>
        <v>4.2903246404340711</v>
      </c>
      <c r="AG92" s="1">
        <f t="shared" si="37"/>
        <v>0.36813771040631488</v>
      </c>
      <c r="AH92" s="1">
        <f t="shared" si="50"/>
        <v>0.42572152796372092</v>
      </c>
      <c r="AI92" s="133">
        <f t="shared" si="51"/>
        <v>0.7938592383700358</v>
      </c>
      <c r="AJ92" s="132">
        <f t="shared" si="52"/>
        <v>5</v>
      </c>
      <c r="AK92" s="1">
        <f t="shared" si="53"/>
        <v>6.1183517270522323</v>
      </c>
      <c r="AL92" s="1">
        <f t="shared" si="38"/>
        <v>0.74868455711846071</v>
      </c>
      <c r="AM92" s="1">
        <f t="shared" si="54"/>
        <v>0.15427500000000002</v>
      </c>
      <c r="AN92" s="136">
        <f t="shared" si="61"/>
        <v>0.11555697592251553</v>
      </c>
      <c r="AO92" s="133">
        <f t="shared" si="55"/>
        <v>1.0185165330409762</v>
      </c>
      <c r="AP92" s="132">
        <f t="shared" si="39"/>
        <v>0.36575929261436391</v>
      </c>
      <c r="AQ92" s="137">
        <f t="shared" si="40"/>
        <v>0.92137837070793971</v>
      </c>
      <c r="AR92" s="137">
        <f t="shared" si="41"/>
        <v>4.0941057268922762E-2</v>
      </c>
      <c r="AS92" s="1">
        <f t="shared" si="42"/>
        <v>5.9279999999999999E-2</v>
      </c>
      <c r="AT92" s="133">
        <f t="shared" si="56"/>
        <v>4.8266666666666666E-2</v>
      </c>
      <c r="AU92" s="132">
        <f t="shared" si="57"/>
        <v>4.1693795293768456</v>
      </c>
      <c r="AV92" s="1">
        <f t="shared" si="58"/>
        <v>90</v>
      </c>
      <c r="AW92" s="133">
        <f t="shared" si="59"/>
        <v>95.572467876273762</v>
      </c>
    </row>
    <row r="93" spans="17:49" x14ac:dyDescent="0.25">
      <c r="Q93">
        <v>86</v>
      </c>
      <c r="R93" s="132">
        <f t="shared" si="32"/>
        <v>18</v>
      </c>
      <c r="S93" s="1">
        <f t="shared" si="33"/>
        <v>5</v>
      </c>
      <c r="T93" s="1">
        <f t="shared" si="34"/>
        <v>12.073333333333334</v>
      </c>
      <c r="U93" s="133">
        <f t="shared" si="43"/>
        <v>7.4544450579790169</v>
      </c>
      <c r="V93" s="132">
        <f>IF(Calculations!$B$17=3,2,IF((S93*R93/T93)&lt;((T93*(1-(T93/R93)))/(2*Lm*fsw)),1,2))</f>
        <v>2</v>
      </c>
      <c r="W93" s="1">
        <f t="shared" si="44"/>
        <v>0.32925925925925925</v>
      </c>
      <c r="X93" s="133">
        <f t="shared" si="35"/>
        <v>0.67074074074074075</v>
      </c>
      <c r="Y93" s="132">
        <f t="shared" si="36"/>
        <v>1.5901027160493828</v>
      </c>
      <c r="Z93" s="1">
        <f t="shared" si="45"/>
        <v>8.2494964160037085</v>
      </c>
      <c r="AA93" s="1">
        <f t="shared" si="46"/>
        <v>7.4685643428345783</v>
      </c>
      <c r="AB93" s="1">
        <v>0</v>
      </c>
      <c r="AC93" s="1">
        <f t="shared" si="47"/>
        <v>0.92036098016049162</v>
      </c>
      <c r="AD93" s="133">
        <f t="shared" si="48"/>
        <v>0.92036098016049162</v>
      </c>
      <c r="AE93" s="132">
        <f t="shared" si="60"/>
        <v>2.4544450579790169</v>
      </c>
      <c r="AF93" s="1">
        <f t="shared" si="49"/>
        <v>4.2855456466618556</v>
      </c>
      <c r="AG93" s="1">
        <f t="shared" si="37"/>
        <v>0.3673180297924476</v>
      </c>
      <c r="AH93" s="1">
        <f t="shared" si="50"/>
        <v>0.42548645257555762</v>
      </c>
      <c r="AI93" s="133">
        <f t="shared" si="51"/>
        <v>0.79280448236800516</v>
      </c>
      <c r="AJ93" s="132">
        <f t="shared" si="52"/>
        <v>5</v>
      </c>
      <c r="AK93" s="1">
        <f t="shared" si="53"/>
        <v>6.1166618227132448</v>
      </c>
      <c r="AL93" s="1">
        <f t="shared" si="38"/>
        <v>0.74827103706875431</v>
      </c>
      <c r="AM93" s="1">
        <f t="shared" si="54"/>
        <v>0.15427500000000002</v>
      </c>
      <c r="AN93" s="136">
        <f t="shared" si="61"/>
        <v>0.11549294982405192</v>
      </c>
      <c r="AO93" s="133">
        <f t="shared" si="55"/>
        <v>1.0180389868928064</v>
      </c>
      <c r="AP93" s="132">
        <f t="shared" si="39"/>
        <v>0.36535541939704363</v>
      </c>
      <c r="AQ93" s="137">
        <f t="shared" si="40"/>
        <v>0.92036098016049162</v>
      </c>
      <c r="AR93" s="137">
        <f t="shared" si="41"/>
        <v>4.0887147103394292E-2</v>
      </c>
      <c r="AS93" s="1">
        <f t="shared" si="42"/>
        <v>5.9279999999999999E-2</v>
      </c>
      <c r="AT93" s="133">
        <f t="shared" si="56"/>
        <v>4.8293333333333341E-2</v>
      </c>
      <c r="AU93" s="132">
        <f t="shared" si="57"/>
        <v>4.1653813294155659</v>
      </c>
      <c r="AV93" s="1">
        <f t="shared" si="58"/>
        <v>90</v>
      </c>
      <c r="AW93" s="133">
        <f t="shared" si="59"/>
        <v>95.576525820201425</v>
      </c>
    </row>
    <row r="94" spans="17:49" x14ac:dyDescent="0.25">
      <c r="Q94">
        <v>87</v>
      </c>
      <c r="R94" s="132">
        <f t="shared" si="32"/>
        <v>18</v>
      </c>
      <c r="S94" s="1">
        <f t="shared" si="33"/>
        <v>5</v>
      </c>
      <c r="T94" s="1">
        <f t="shared" si="34"/>
        <v>12.08</v>
      </c>
      <c r="U94" s="133">
        <f t="shared" si="43"/>
        <v>7.4503311258278142</v>
      </c>
      <c r="V94" s="132">
        <f>IF(Calculations!$B$17=3,2,IF((S94*R94/T94)&lt;((T94*(1-(T94/R94)))/(2*Lm*fsw)),1,2))</f>
        <v>2</v>
      </c>
      <c r="W94" s="1">
        <f t="shared" si="44"/>
        <v>0.3288888888888889</v>
      </c>
      <c r="X94" s="133">
        <f t="shared" si="35"/>
        <v>0.6711111111111111</v>
      </c>
      <c r="Y94" s="132">
        <f t="shared" si="36"/>
        <v>1.5891911111111112</v>
      </c>
      <c r="Z94" s="1">
        <f t="shared" si="45"/>
        <v>8.2449266813833706</v>
      </c>
      <c r="AA94" s="1">
        <f t="shared" si="46"/>
        <v>7.4644420142063055</v>
      </c>
      <c r="AB94" s="1">
        <v>0</v>
      </c>
      <c r="AC94" s="1">
        <f t="shared" si="47"/>
        <v>0.9193452606268967</v>
      </c>
      <c r="AD94" s="133">
        <f t="shared" si="48"/>
        <v>0.9193452606268967</v>
      </c>
      <c r="AE94" s="132">
        <f t="shared" si="60"/>
        <v>2.4503311258278146</v>
      </c>
      <c r="AF94" s="1">
        <f t="shared" si="49"/>
        <v>4.2807705428787646</v>
      </c>
      <c r="AG94" s="1">
        <f t="shared" si="37"/>
        <v>0.36649992881557103</v>
      </c>
      <c r="AH94" s="1">
        <f t="shared" si="50"/>
        <v>0.42525163665250271</v>
      </c>
      <c r="AI94" s="133">
        <f t="shared" si="51"/>
        <v>0.79175156546807379</v>
      </c>
      <c r="AJ94" s="132">
        <f t="shared" si="52"/>
        <v>5</v>
      </c>
      <c r="AK94" s="1">
        <f t="shared" si="53"/>
        <v>6.1149732740764904</v>
      </c>
      <c r="AL94" s="1">
        <f t="shared" si="38"/>
        <v>0.74785796285339501</v>
      </c>
      <c r="AM94" s="1">
        <f t="shared" si="54"/>
        <v>0.15427500000000002</v>
      </c>
      <c r="AN94" s="136">
        <f t="shared" si="61"/>
        <v>0.11542897353936719</v>
      </c>
      <c r="AO94" s="133">
        <f t="shared" si="55"/>
        <v>1.0175619363927622</v>
      </c>
      <c r="AP94" s="132">
        <f t="shared" si="39"/>
        <v>0.36495220952158625</v>
      </c>
      <c r="AQ94" s="137">
        <f t="shared" si="40"/>
        <v>0.9193452606268967</v>
      </c>
      <c r="AR94" s="137">
        <f t="shared" si="41"/>
        <v>4.0833160200104988E-2</v>
      </c>
      <c r="AS94" s="1">
        <f t="shared" si="42"/>
        <v>5.9279999999999999E-2</v>
      </c>
      <c r="AT94" s="133">
        <f t="shared" si="56"/>
        <v>4.8320000000000002E-2</v>
      </c>
      <c r="AU94" s="132">
        <f t="shared" si="57"/>
        <v>4.1613893928363206</v>
      </c>
      <c r="AV94" s="1">
        <f t="shared" si="58"/>
        <v>90</v>
      </c>
      <c r="AW94" s="133">
        <f t="shared" si="59"/>
        <v>95.580577750955626</v>
      </c>
    </row>
    <row r="95" spans="17:49" x14ac:dyDescent="0.25">
      <c r="Q95">
        <v>88</v>
      </c>
      <c r="R95" s="132">
        <f t="shared" si="32"/>
        <v>18</v>
      </c>
      <c r="S95" s="1">
        <f t="shared" si="33"/>
        <v>5</v>
      </c>
      <c r="T95" s="1">
        <f t="shared" si="34"/>
        <v>12.086666666666666</v>
      </c>
      <c r="U95" s="133">
        <f t="shared" si="43"/>
        <v>7.446221731936018</v>
      </c>
      <c r="V95" s="132">
        <f>IF(Calculations!$B$17=3,2,IF((S95*R95/T95)&lt;((T95*(1-(T95/R95)))/(2*Lm*fsw)),1,2))</f>
        <v>2</v>
      </c>
      <c r="W95" s="1">
        <f t="shared" si="44"/>
        <v>0.32851851851851854</v>
      </c>
      <c r="X95" s="133">
        <f t="shared" si="35"/>
        <v>0.67148148148148146</v>
      </c>
      <c r="Y95" s="132">
        <f t="shared" si="36"/>
        <v>1.5882775308641977</v>
      </c>
      <c r="Z95" s="1">
        <f t="shared" si="45"/>
        <v>8.2403604973681173</v>
      </c>
      <c r="AA95" s="1">
        <f t="shared" si="46"/>
        <v>7.4603241802268156</v>
      </c>
      <c r="AB95" s="1">
        <v>0</v>
      </c>
      <c r="AC95" s="1">
        <f t="shared" si="47"/>
        <v>0.91833120842226901</v>
      </c>
      <c r="AD95" s="133">
        <f t="shared" si="48"/>
        <v>0.91833120842226901</v>
      </c>
      <c r="AE95" s="132">
        <f t="shared" si="60"/>
        <v>2.446221731936018</v>
      </c>
      <c r="AF95" s="1">
        <f t="shared" si="49"/>
        <v>4.2759993203801141</v>
      </c>
      <c r="AG95" s="1">
        <f t="shared" si="37"/>
        <v>0.36568340375782399</v>
      </c>
      <c r="AH95" s="1">
        <f t="shared" si="50"/>
        <v>0.42501707976521508</v>
      </c>
      <c r="AI95" s="133">
        <f t="shared" si="51"/>
        <v>0.79070048352303912</v>
      </c>
      <c r="AJ95" s="132">
        <f t="shared" si="52"/>
        <v>5</v>
      </c>
      <c r="AK95" s="1">
        <f t="shared" si="53"/>
        <v>6.1132860792036974</v>
      </c>
      <c r="AL95" s="1">
        <f t="shared" si="38"/>
        <v>0.74744533372371436</v>
      </c>
      <c r="AM95" s="1">
        <f t="shared" si="54"/>
        <v>0.15427500000000002</v>
      </c>
      <c r="AN95" s="136">
        <f t="shared" si="61"/>
        <v>0.11536504696315364</v>
      </c>
      <c r="AO95" s="133">
        <f t="shared" si="55"/>
        <v>1.017085380686868</v>
      </c>
      <c r="AP95" s="132">
        <f t="shared" si="39"/>
        <v>0.36454966152520374</v>
      </c>
      <c r="AQ95" s="137">
        <f t="shared" si="40"/>
        <v>0.91833120842226901</v>
      </c>
      <c r="AR95" s="137">
        <f t="shared" si="41"/>
        <v>4.0779096814451632E-2</v>
      </c>
      <c r="AS95" s="1">
        <f t="shared" si="42"/>
        <v>5.9279999999999999E-2</v>
      </c>
      <c r="AT95" s="133">
        <f t="shared" si="56"/>
        <v>4.8346666666666663E-2</v>
      </c>
      <c r="AU95" s="132">
        <f t="shared" si="57"/>
        <v>4.1574037060607667</v>
      </c>
      <c r="AV95" s="1">
        <f t="shared" si="58"/>
        <v>90</v>
      </c>
      <c r="AW95" s="133">
        <f t="shared" si="59"/>
        <v>95.5846236807471</v>
      </c>
    </row>
    <row r="96" spans="17:49" x14ac:dyDescent="0.25">
      <c r="Q96">
        <v>89</v>
      </c>
      <c r="R96" s="132">
        <f t="shared" si="32"/>
        <v>18</v>
      </c>
      <c r="S96" s="1">
        <f t="shared" si="33"/>
        <v>5</v>
      </c>
      <c r="T96" s="1">
        <f t="shared" si="34"/>
        <v>12.093333333333334</v>
      </c>
      <c r="U96" s="133">
        <f t="shared" si="43"/>
        <v>7.4421168687982355</v>
      </c>
      <c r="V96" s="132">
        <f>IF(Calculations!$B$17=3,2,IF((S96*R96/T96)&lt;((T96*(1-(T96/R96)))/(2*Lm*fsw)),1,2))</f>
        <v>2</v>
      </c>
      <c r="W96" s="1">
        <f t="shared" si="44"/>
        <v>0.32814814814814808</v>
      </c>
      <c r="X96" s="133">
        <f t="shared" si="35"/>
        <v>0.67185185185185192</v>
      </c>
      <c r="Y96" s="132">
        <f t="shared" si="36"/>
        <v>1.5873619753086416</v>
      </c>
      <c r="Z96" s="1">
        <f t="shared" si="45"/>
        <v>8.2357978564525567</v>
      </c>
      <c r="AA96" s="1">
        <f t="shared" si="46"/>
        <v>7.4562108334085639</v>
      </c>
      <c r="AB96" s="1">
        <v>0</v>
      </c>
      <c r="AC96" s="1">
        <f t="shared" si="47"/>
        <v>0.91731881987194741</v>
      </c>
      <c r="AD96" s="133">
        <f t="shared" si="48"/>
        <v>0.91731881987194741</v>
      </c>
      <c r="AE96" s="132">
        <f t="shared" si="60"/>
        <v>2.4421168687982351</v>
      </c>
      <c r="AF96" s="1">
        <f t="shared" si="49"/>
        <v>4.2712319704742638</v>
      </c>
      <c r="AG96" s="1">
        <f t="shared" si="37"/>
        <v>0.36486845091202924</v>
      </c>
      <c r="AH96" s="1">
        <f t="shared" si="50"/>
        <v>0.42478278148530041</v>
      </c>
      <c r="AI96" s="133">
        <f t="shared" si="51"/>
        <v>0.78965123239732971</v>
      </c>
      <c r="AJ96" s="132">
        <f t="shared" si="52"/>
        <v>5</v>
      </c>
      <c r="AK96" s="1">
        <f t="shared" si="53"/>
        <v>6.1116002361605561</v>
      </c>
      <c r="AL96" s="1">
        <f t="shared" si="38"/>
        <v>0.7470331489327553</v>
      </c>
      <c r="AM96" s="1">
        <f t="shared" si="54"/>
        <v>0.15427500000000002</v>
      </c>
      <c r="AN96" s="136">
        <f t="shared" si="61"/>
        <v>0.11530116999033579</v>
      </c>
      <c r="AO96" s="133">
        <f t="shared" si="55"/>
        <v>1.0166093189230911</v>
      </c>
      <c r="AP96" s="132">
        <f t="shared" si="39"/>
        <v>0.36414777394916698</v>
      </c>
      <c r="AQ96" s="137">
        <f t="shared" si="40"/>
        <v>0.91731881987194741</v>
      </c>
      <c r="AR96" s="137">
        <f t="shared" si="41"/>
        <v>4.0724957202305033E-2</v>
      </c>
      <c r="AS96" s="1">
        <f t="shared" si="42"/>
        <v>5.9279999999999999E-2</v>
      </c>
      <c r="AT96" s="133">
        <f t="shared" si="56"/>
        <v>4.8373333333333338E-2</v>
      </c>
      <c r="AU96" s="132">
        <f t="shared" si="57"/>
        <v>4.1534242555491208</v>
      </c>
      <c r="AV96" s="1">
        <f t="shared" si="58"/>
        <v>90</v>
      </c>
      <c r="AW96" s="133">
        <f t="shared" si="59"/>
        <v>95.588663621754222</v>
      </c>
    </row>
    <row r="97" spans="17:49" x14ac:dyDescent="0.25">
      <c r="Q97">
        <v>90</v>
      </c>
      <c r="R97" s="132">
        <f t="shared" si="32"/>
        <v>18</v>
      </c>
      <c r="S97" s="1">
        <f t="shared" si="33"/>
        <v>5</v>
      </c>
      <c r="T97" s="1">
        <f t="shared" si="34"/>
        <v>12.1</v>
      </c>
      <c r="U97" s="133">
        <f t="shared" si="43"/>
        <v>7.4380165289256199</v>
      </c>
      <c r="V97" s="132">
        <f>IF(Calculations!$B$17=3,2,IF((S97*R97/T97)&lt;((T97*(1-(T97/R97)))/(2*Lm*fsw)),1,2))</f>
        <v>2</v>
      </c>
      <c r="W97" s="1">
        <f t="shared" si="44"/>
        <v>0.32777777777777783</v>
      </c>
      <c r="X97" s="133">
        <f t="shared" si="35"/>
        <v>0.67222222222222217</v>
      </c>
      <c r="Y97" s="132">
        <f t="shared" si="36"/>
        <v>1.5864444444444445</v>
      </c>
      <c r="Z97" s="1">
        <f t="shared" si="45"/>
        <v>8.231238751147842</v>
      </c>
      <c r="AA97" s="1">
        <f t="shared" si="46"/>
        <v>7.4521019662808188</v>
      </c>
      <c r="AB97" s="1">
        <v>0</v>
      </c>
      <c r="AC97" s="1">
        <f t="shared" si="47"/>
        <v>0.9163080913114664</v>
      </c>
      <c r="AD97" s="133">
        <f t="shared" si="48"/>
        <v>0.9163080913114664</v>
      </c>
      <c r="AE97" s="132">
        <f t="shared" si="60"/>
        <v>2.4380165289256204</v>
      </c>
      <c r="AF97" s="1">
        <f t="shared" si="49"/>
        <v>4.2664684844825711</v>
      </c>
      <c r="AG97" s="1">
        <f t="shared" si="37"/>
        <v>0.36405506658166015</v>
      </c>
      <c r="AH97" s="1">
        <f t="shared" si="50"/>
        <v>0.42454874138530851</v>
      </c>
      <c r="AI97" s="133">
        <f t="shared" si="51"/>
        <v>0.78860380796696861</v>
      </c>
      <c r="AJ97" s="132">
        <f t="shared" si="52"/>
        <v>5</v>
      </c>
      <c r="AK97" s="1">
        <f t="shared" si="53"/>
        <v>6.1099157430167104</v>
      </c>
      <c r="AL97" s="1">
        <f t="shared" si="38"/>
        <v>0.74662140773526886</v>
      </c>
      <c r="AM97" s="1">
        <f t="shared" si="54"/>
        <v>0.15427500000000002</v>
      </c>
      <c r="AN97" s="136">
        <f t="shared" si="61"/>
        <v>0.11523734251606979</v>
      </c>
      <c r="AO97" s="133">
        <f t="shared" si="55"/>
        <v>1.0161337502513388</v>
      </c>
      <c r="AP97" s="132">
        <f t="shared" si="39"/>
        <v>0.36374654533879419</v>
      </c>
      <c r="AQ97" s="137">
        <f t="shared" si="40"/>
        <v>0.9163080913114664</v>
      </c>
      <c r="AR97" s="137">
        <f t="shared" si="41"/>
        <v>4.0670741620009498E-2</v>
      </c>
      <c r="AS97" s="1">
        <f t="shared" si="42"/>
        <v>5.9279999999999999E-2</v>
      </c>
      <c r="AT97" s="133">
        <f t="shared" si="56"/>
        <v>4.8399999999999999E-2</v>
      </c>
      <c r="AU97" s="132">
        <f t="shared" si="57"/>
        <v>4.149451027800044</v>
      </c>
      <c r="AV97" s="1">
        <f t="shared" si="58"/>
        <v>90</v>
      </c>
      <c r="AW97" s="133">
        <f t="shared" si="59"/>
        <v>95.592697586123137</v>
      </c>
    </row>
    <row r="98" spans="17:49" x14ac:dyDescent="0.25">
      <c r="Q98">
        <v>91</v>
      </c>
      <c r="R98" s="132">
        <f t="shared" si="32"/>
        <v>18</v>
      </c>
      <c r="S98" s="1">
        <f t="shared" si="33"/>
        <v>5</v>
      </c>
      <c r="T98" s="1">
        <f t="shared" si="34"/>
        <v>12.106666666666667</v>
      </c>
      <c r="U98" s="133">
        <f t="shared" si="43"/>
        <v>7.4339207048458142</v>
      </c>
      <c r="V98" s="132">
        <f>IF(Calculations!$B$17=3,2,IF((S98*R98/T98)&lt;((T98*(1-(T98/R98)))/(2*Lm*fsw)),1,2))</f>
        <v>2</v>
      </c>
      <c r="W98" s="1">
        <f t="shared" si="44"/>
        <v>0.32740740740740737</v>
      </c>
      <c r="X98" s="133">
        <f t="shared" si="35"/>
        <v>0.67259259259259263</v>
      </c>
      <c r="Y98" s="132">
        <f t="shared" si="36"/>
        <v>1.5855249382716048</v>
      </c>
      <c r="Z98" s="1">
        <f t="shared" si="45"/>
        <v>8.2266831739816162</v>
      </c>
      <c r="AA98" s="1">
        <f t="shared" si="46"/>
        <v>7.4479975713896005</v>
      </c>
      <c r="AB98" s="1">
        <v>0</v>
      </c>
      <c r="AC98" s="1">
        <f t="shared" si="47"/>
        <v>0.91529901908651901</v>
      </c>
      <c r="AD98" s="133">
        <f t="shared" si="48"/>
        <v>0.91529901908651901</v>
      </c>
      <c r="AE98" s="132">
        <f t="shared" si="60"/>
        <v>2.4339207048458142</v>
      </c>
      <c r="AF98" s="1">
        <f t="shared" si="49"/>
        <v>4.2617088537393091</v>
      </c>
      <c r="AG98" s="1">
        <f t="shared" si="37"/>
        <v>0.36324324708080036</v>
      </c>
      <c r="AH98" s="1">
        <f t="shared" si="50"/>
        <v>0.42431495903873062</v>
      </c>
      <c r="AI98" s="133">
        <f t="shared" si="51"/>
        <v>0.78755820611953098</v>
      </c>
      <c r="AJ98" s="132">
        <f t="shared" si="52"/>
        <v>5</v>
      </c>
      <c r="AK98" s="1">
        <f t="shared" si="53"/>
        <v>6.1082325978457446</v>
      </c>
      <c r="AL98" s="1">
        <f t="shared" si="38"/>
        <v>0.74621010938770749</v>
      </c>
      <c r="AM98" s="1">
        <f t="shared" si="54"/>
        <v>0.15427500000000002</v>
      </c>
      <c r="AN98" s="136">
        <f t="shared" si="61"/>
        <v>0.11517356443574263</v>
      </c>
      <c r="AO98" s="133">
        <f t="shared" si="55"/>
        <v>1.0156586738234501</v>
      </c>
      <c r="AP98" s="132">
        <f t="shared" si="39"/>
        <v>0.36334597424343629</v>
      </c>
      <c r="AQ98" s="137">
        <f t="shared" si="40"/>
        <v>0.91529901908651901</v>
      </c>
      <c r="AR98" s="137">
        <f t="shared" si="41"/>
        <v>4.061645032438236E-2</v>
      </c>
      <c r="AS98" s="1">
        <f t="shared" si="42"/>
        <v>5.9279999999999999E-2</v>
      </c>
      <c r="AT98" s="133">
        <f t="shared" si="56"/>
        <v>4.8426666666666673E-2</v>
      </c>
      <c r="AU98" s="132">
        <f t="shared" si="57"/>
        <v>4.145484009350505</v>
      </c>
      <c r="AV98" s="1">
        <f t="shared" si="58"/>
        <v>90</v>
      </c>
      <c r="AW98" s="133">
        <f t="shared" si="59"/>
        <v>95.596725585967803</v>
      </c>
    </row>
    <row r="99" spans="17:49" x14ac:dyDescent="0.25">
      <c r="Q99">
        <v>92</v>
      </c>
      <c r="R99" s="132">
        <f t="shared" si="32"/>
        <v>18</v>
      </c>
      <c r="S99" s="1">
        <f t="shared" si="33"/>
        <v>5</v>
      </c>
      <c r="T99" s="1">
        <f t="shared" si="34"/>
        <v>12.113333333333333</v>
      </c>
      <c r="U99" s="133">
        <f t="shared" si="43"/>
        <v>7.4298293891029168</v>
      </c>
      <c r="V99" s="132">
        <f>IF(Calculations!$B$17=3,2,IF((S99*R99/T99)&lt;((T99*(1-(T99/R99)))/(2*Lm*fsw)),1,2))</f>
        <v>2</v>
      </c>
      <c r="W99" s="1">
        <f t="shared" si="44"/>
        <v>0.32703703703703701</v>
      </c>
      <c r="X99" s="133">
        <f t="shared" si="35"/>
        <v>0.67296296296296299</v>
      </c>
      <c r="Y99" s="132">
        <f t="shared" si="36"/>
        <v>1.5846034567901233</v>
      </c>
      <c r="Z99" s="1">
        <f t="shared" si="45"/>
        <v>8.2221311174979785</v>
      </c>
      <c r="AA99" s="1">
        <f t="shared" si="46"/>
        <v>7.4438976412976476</v>
      </c>
      <c r="AB99" s="1">
        <v>0</v>
      </c>
      <c r="AC99" s="1">
        <f t="shared" si="47"/>
        <v>0.91429159955292538</v>
      </c>
      <c r="AD99" s="133">
        <f t="shared" si="48"/>
        <v>0.91429159955292538</v>
      </c>
      <c r="AE99" s="132">
        <f t="shared" si="60"/>
        <v>2.4298293891029168</v>
      </c>
      <c r="AF99" s="1">
        <f t="shared" si="49"/>
        <v>4.256953069591626</v>
      </c>
      <c r="AG99" s="1">
        <f t="shared" si="37"/>
        <v>0.36243298873411134</v>
      </c>
      <c r="AH99" s="1">
        <f t="shared" si="50"/>
        <v>0.42408143401999726</v>
      </c>
      <c r="AI99" s="133">
        <f t="shared" si="51"/>
        <v>0.78651442275410854</v>
      </c>
      <c r="AJ99" s="132">
        <f t="shared" si="52"/>
        <v>5</v>
      </c>
      <c r="AK99" s="1">
        <f t="shared" si="53"/>
        <v>6.1065507987251788</v>
      </c>
      <c r="AL99" s="1">
        <f t="shared" si="38"/>
        <v>0.74579925314822237</v>
      </c>
      <c r="AM99" s="1">
        <f t="shared" si="54"/>
        <v>0.15427500000000002</v>
      </c>
      <c r="AN99" s="136">
        <f t="shared" si="61"/>
        <v>0.11510983564497171</v>
      </c>
      <c r="AO99" s="133">
        <f t="shared" si="55"/>
        <v>1.0151840887931942</v>
      </c>
      <c r="AP99" s="132">
        <f t="shared" si="39"/>
        <v>0.36294605921646422</v>
      </c>
      <c r="AQ99" s="137">
        <f t="shared" si="40"/>
        <v>0.91429159955292538</v>
      </c>
      <c r="AR99" s="137">
        <f t="shared" si="41"/>
        <v>4.0562083572713389E-2</v>
      </c>
      <c r="AS99" s="1">
        <f t="shared" si="42"/>
        <v>5.9279999999999999E-2</v>
      </c>
      <c r="AT99" s="133">
        <f t="shared" si="56"/>
        <v>4.8453333333333334E-2</v>
      </c>
      <c r="AU99" s="132">
        <f t="shared" si="57"/>
        <v>4.1415231867756646</v>
      </c>
      <c r="AV99" s="1">
        <f t="shared" si="58"/>
        <v>90</v>
      </c>
      <c r="AW99" s="133">
        <f t="shared" si="59"/>
        <v>95.600747633370105</v>
      </c>
    </row>
    <row r="100" spans="17:49" x14ac:dyDescent="0.25">
      <c r="Q100">
        <v>93</v>
      </c>
      <c r="R100" s="132">
        <f t="shared" si="32"/>
        <v>18</v>
      </c>
      <c r="S100" s="1">
        <f t="shared" si="33"/>
        <v>5</v>
      </c>
      <c r="T100" s="1">
        <f t="shared" si="34"/>
        <v>12.12</v>
      </c>
      <c r="U100" s="133">
        <f t="shared" si="43"/>
        <v>7.4257425742574261</v>
      </c>
      <c r="V100" s="132">
        <f>IF(Calculations!$B$17=3,2,IF((S100*R100/T100)&lt;((T100*(1-(T100/R100)))/(2*Lm*fsw)),1,2))</f>
        <v>2</v>
      </c>
      <c r="W100" s="1">
        <f t="shared" si="44"/>
        <v>0.32666666666666666</v>
      </c>
      <c r="X100" s="133">
        <f t="shared" si="35"/>
        <v>0.67333333333333334</v>
      </c>
      <c r="Y100" s="132">
        <f t="shared" si="36"/>
        <v>1.5836799999999998</v>
      </c>
      <c r="Z100" s="1">
        <f t="shared" si="45"/>
        <v>8.2175825742574258</v>
      </c>
      <c r="AA100" s="1">
        <f t="shared" si="46"/>
        <v>7.4398021685843663</v>
      </c>
      <c r="AB100" s="1">
        <v>0</v>
      </c>
      <c r="AC100" s="1">
        <f t="shared" si="47"/>
        <v>0.9132858290765985</v>
      </c>
      <c r="AD100" s="133">
        <f t="shared" si="48"/>
        <v>0.9132858290765985</v>
      </c>
      <c r="AE100" s="132">
        <f t="shared" si="60"/>
        <v>2.4257425742574257</v>
      </c>
      <c r="AF100" s="1">
        <f t="shared" si="49"/>
        <v>4.2522011233994714</v>
      </c>
      <c r="AG100" s="1">
        <f t="shared" si="37"/>
        <v>0.36162428787679451</v>
      </c>
      <c r="AH100" s="1">
        <f t="shared" si="50"/>
        <v>0.42384816590447461</v>
      </c>
      <c r="AI100" s="133">
        <f t="shared" si="51"/>
        <v>0.78547245378126918</v>
      </c>
      <c r="AJ100" s="132">
        <f t="shared" si="52"/>
        <v>5</v>
      </c>
      <c r="AK100" s="1">
        <f t="shared" si="53"/>
        <v>6.1048703437364589</v>
      </c>
      <c r="AL100" s="1">
        <f t="shared" si="38"/>
        <v>0.74538883827665814</v>
      </c>
      <c r="AM100" s="1">
        <f t="shared" si="54"/>
        <v>0.15427500000000002</v>
      </c>
      <c r="AN100" s="136">
        <f t="shared" si="61"/>
        <v>0.11504615603960397</v>
      </c>
      <c r="AO100" s="133">
        <f t="shared" si="55"/>
        <v>1.0147099943162621</v>
      </c>
      <c r="AP100" s="132">
        <f t="shared" si="39"/>
        <v>0.36254679881525576</v>
      </c>
      <c r="AQ100" s="137">
        <f t="shared" si="40"/>
        <v>0.9132858290765985</v>
      </c>
      <c r="AR100" s="137">
        <f t="shared" si="41"/>
        <v>4.0507641622763872E-2</v>
      </c>
      <c r="AS100" s="1">
        <f t="shared" si="42"/>
        <v>5.9279999999999999E-2</v>
      </c>
      <c r="AT100" s="133">
        <f t="shared" si="56"/>
        <v>4.8479999999999995E-2</v>
      </c>
      <c r="AU100" s="132">
        <f t="shared" si="57"/>
        <v>4.1375685466887475</v>
      </c>
      <c r="AV100" s="1">
        <f t="shared" si="58"/>
        <v>90</v>
      </c>
      <c r="AW100" s="133">
        <f t="shared" si="59"/>
        <v>95.604763740379937</v>
      </c>
    </row>
    <row r="101" spans="17:49" x14ac:dyDescent="0.25">
      <c r="Q101">
        <v>94</v>
      </c>
      <c r="R101" s="132">
        <f t="shared" si="32"/>
        <v>18</v>
      </c>
      <c r="S101" s="1">
        <f t="shared" si="33"/>
        <v>5</v>
      </c>
      <c r="T101" s="1">
        <f t="shared" si="34"/>
        <v>12.126666666666667</v>
      </c>
      <c r="U101" s="133">
        <f t="shared" si="43"/>
        <v>7.421660252886201</v>
      </c>
      <c r="V101" s="132">
        <f>IF(Calculations!$B$17=3,2,IF((S101*R101/T101)&lt;((T101*(1-(T101/R101)))/(2*Lm*fsw)),1,2))</f>
        <v>2</v>
      </c>
      <c r="W101" s="1">
        <f t="shared" si="44"/>
        <v>0.32629629629629631</v>
      </c>
      <c r="X101" s="133">
        <f t="shared" si="35"/>
        <v>0.67370370370370369</v>
      </c>
      <c r="Y101" s="132">
        <f t="shared" si="36"/>
        <v>1.5827545679012345</v>
      </c>
      <c r="Z101" s="1">
        <f t="shared" si="45"/>
        <v>8.2130375368368185</v>
      </c>
      <c r="AA101" s="1">
        <f t="shared" si="46"/>
        <v>7.4357111458457839</v>
      </c>
      <c r="AB101" s="1">
        <v>0</v>
      </c>
      <c r="AC101" s="1">
        <f t="shared" si="47"/>
        <v>0.91228170403351116</v>
      </c>
      <c r="AD101" s="133">
        <f t="shared" si="48"/>
        <v>0.91228170403351116</v>
      </c>
      <c r="AE101" s="132">
        <f t="shared" si="60"/>
        <v>2.421660252886201</v>
      </c>
      <c r="AF101" s="1">
        <f t="shared" si="49"/>
        <v>4.2474530065355403</v>
      </c>
      <c r="AG101" s="1">
        <f t="shared" si="37"/>
        <v>0.36081714085455602</v>
      </c>
      <c r="AH101" s="1">
        <f t="shared" si="50"/>
        <v>0.42361515426846341</v>
      </c>
      <c r="AI101" s="133">
        <f t="shared" si="51"/>
        <v>0.78443229512301937</v>
      </c>
      <c r="AJ101" s="132">
        <f t="shared" si="52"/>
        <v>5</v>
      </c>
      <c r="AK101" s="1">
        <f t="shared" si="53"/>
        <v>6.1031912309649474</v>
      </c>
      <c r="AL101" s="1">
        <f t="shared" si="38"/>
        <v>0.7449788640345486</v>
      </c>
      <c r="AM101" s="1">
        <f t="shared" si="54"/>
        <v>0.15427500000000002</v>
      </c>
      <c r="AN101" s="136">
        <f t="shared" si="61"/>
        <v>0.11498252551571546</v>
      </c>
      <c r="AO101" s="133">
        <f t="shared" si="55"/>
        <v>1.0142363895502642</v>
      </c>
      <c r="AP101" s="132">
        <f t="shared" si="39"/>
        <v>0.36214819160118167</v>
      </c>
      <c r="AQ101" s="137">
        <f t="shared" si="40"/>
        <v>0.91228170403351116</v>
      </c>
      <c r="AR101" s="137">
        <f t="shared" si="41"/>
        <v>4.0453124732766743E-2</v>
      </c>
      <c r="AS101" s="1">
        <f t="shared" si="42"/>
        <v>5.9279999999999999E-2</v>
      </c>
      <c r="AT101" s="133">
        <f t="shared" si="56"/>
        <v>4.850666666666667E-2</v>
      </c>
      <c r="AU101" s="132">
        <f t="shared" si="57"/>
        <v>4.1336200757409207</v>
      </c>
      <c r="AV101" s="1">
        <f t="shared" si="58"/>
        <v>90</v>
      </c>
      <c r="AW101" s="133">
        <f t="shared" si="59"/>
        <v>95.608773919015363</v>
      </c>
    </row>
    <row r="102" spans="17:49" x14ac:dyDescent="0.25">
      <c r="Q102">
        <v>95</v>
      </c>
      <c r="R102" s="132">
        <f t="shared" si="32"/>
        <v>18</v>
      </c>
      <c r="S102" s="1">
        <f t="shared" si="33"/>
        <v>5</v>
      </c>
      <c r="T102" s="1">
        <f t="shared" si="34"/>
        <v>12.133333333333333</v>
      </c>
      <c r="U102" s="133">
        <f t="shared" si="43"/>
        <v>7.4175824175824179</v>
      </c>
      <c r="V102" s="132">
        <f>IF(Calculations!$B$17=3,2,IF((S102*R102/T102)&lt;((T102*(1-(T102/R102)))/(2*Lm*fsw)),1,2))</f>
        <v>2</v>
      </c>
      <c r="W102" s="1">
        <f t="shared" si="44"/>
        <v>0.32592592592592595</v>
      </c>
      <c r="X102" s="133">
        <f t="shared" si="35"/>
        <v>0.67407407407407405</v>
      </c>
      <c r="Y102" s="132">
        <f t="shared" si="36"/>
        <v>1.5818271604938272</v>
      </c>
      <c r="Z102" s="1">
        <f t="shared" si="45"/>
        <v>8.2084959978293313</v>
      </c>
      <c r="AA102" s="1">
        <f t="shared" si="46"/>
        <v>7.4316245656945128</v>
      </c>
      <c r="AB102" s="1">
        <v>0</v>
      </c>
      <c r="AC102" s="1">
        <f t="shared" si="47"/>
        <v>0.91127922080966361</v>
      </c>
      <c r="AD102" s="133">
        <f t="shared" si="48"/>
        <v>0.91127922080966361</v>
      </c>
      <c r="AE102" s="132">
        <f t="shared" si="60"/>
        <v>2.4175824175824179</v>
      </c>
      <c r="AF102" s="1">
        <f t="shared" si="49"/>
        <v>4.2427087103852115</v>
      </c>
      <c r="AG102" s="1">
        <f t="shared" si="37"/>
        <v>0.36001154402357088</v>
      </c>
      <c r="AH102" s="1">
        <f t="shared" si="50"/>
        <v>0.42338239868919503</v>
      </c>
      <c r="AI102" s="133">
        <f t="shared" si="51"/>
        <v>0.78339394271276586</v>
      </c>
      <c r="AJ102" s="132">
        <f t="shared" si="52"/>
        <v>5</v>
      </c>
      <c r="AK102" s="1">
        <f t="shared" si="53"/>
        <v>6.1015134584999169</v>
      </c>
      <c r="AL102" s="1">
        <f t="shared" si="38"/>
        <v>0.74456932968511236</v>
      </c>
      <c r="AM102" s="1">
        <f t="shared" si="54"/>
        <v>0.15427500000000002</v>
      </c>
      <c r="AN102" s="136">
        <f t="shared" si="61"/>
        <v>0.11491894396961064</v>
      </c>
      <c r="AO102" s="133">
        <f t="shared" si="55"/>
        <v>1.0137632736547231</v>
      </c>
      <c r="AP102" s="132">
        <f t="shared" si="39"/>
        <v>0.36175023613959367</v>
      </c>
      <c r="AQ102" s="137">
        <f t="shared" si="40"/>
        <v>0.91127922080966361</v>
      </c>
      <c r="AR102" s="137">
        <f t="shared" si="41"/>
        <v>4.0398533161425276E-2</v>
      </c>
      <c r="AS102" s="1">
        <f t="shared" si="42"/>
        <v>5.9279999999999999E-2</v>
      </c>
      <c r="AT102" s="133">
        <f t="shared" si="56"/>
        <v>4.8533333333333331E-2</v>
      </c>
      <c r="AU102" s="132">
        <f t="shared" si="57"/>
        <v>4.1296777606211679</v>
      </c>
      <c r="AV102" s="1">
        <f t="shared" si="58"/>
        <v>90</v>
      </c>
      <c r="AW102" s="133">
        <f t="shared" si="59"/>
        <v>95.612778181262613</v>
      </c>
    </row>
    <row r="103" spans="17:49" x14ac:dyDescent="0.25">
      <c r="Q103">
        <v>96</v>
      </c>
      <c r="R103" s="132">
        <f t="shared" si="32"/>
        <v>18</v>
      </c>
      <c r="S103" s="1">
        <f t="shared" ref="S103:S134" si="62">IOUT</f>
        <v>5</v>
      </c>
      <c r="T103" s="1">
        <f t="shared" ref="T103:T134" si="63">VIN_MIN+($O$12)*(Q103)</f>
        <v>12.14</v>
      </c>
      <c r="U103" s="133">
        <f t="shared" si="43"/>
        <v>7.4135090609555183</v>
      </c>
      <c r="V103" s="132">
        <f>IF(Calculations!$B$17=3,2,IF((S103*R103/T103)&lt;((T103*(1-(T103/R103)))/(2*Lm*fsw)),1,2))</f>
        <v>2</v>
      </c>
      <c r="W103" s="1">
        <f t="shared" si="44"/>
        <v>0.32555555555555549</v>
      </c>
      <c r="X103" s="133">
        <f t="shared" si="35"/>
        <v>0.67444444444444451</v>
      </c>
      <c r="Y103" s="132">
        <f t="shared" si="36"/>
        <v>1.5808977777777775</v>
      </c>
      <c r="Z103" s="1">
        <f t="shared" si="45"/>
        <v>8.2039579498444066</v>
      </c>
      <c r="AA103" s="1">
        <f t="shared" si="46"/>
        <v>7.4275424207596954</v>
      </c>
      <c r="AB103" s="1">
        <v>0</v>
      </c>
      <c r="AC103" s="1">
        <f t="shared" si="47"/>
        <v>0.9102783758010492</v>
      </c>
      <c r="AD103" s="133">
        <f t="shared" si="48"/>
        <v>0.9102783758010492</v>
      </c>
      <c r="AE103" s="132">
        <f t="shared" si="60"/>
        <v>2.4135090609555183</v>
      </c>
      <c r="AF103" s="1">
        <f t="shared" si="49"/>
        <v>4.237968226346486</v>
      </c>
      <c r="AG103" s="1">
        <f t="shared" si="37"/>
        <v>0.35920749375044758</v>
      </c>
      <c r="AH103" s="1">
        <f t="shared" si="50"/>
        <v>0.42314989874482967</v>
      </c>
      <c r="AI103" s="133">
        <f t="shared" si="51"/>
        <v>0.78235739249527725</v>
      </c>
      <c r="AJ103" s="132">
        <f t="shared" si="52"/>
        <v>5</v>
      </c>
      <c r="AK103" s="1">
        <f t="shared" si="53"/>
        <v>6.0998370244345388</v>
      </c>
      <c r="AL103" s="1">
        <f t="shared" si="38"/>
        <v>0.74416023449324809</v>
      </c>
      <c r="AM103" s="1">
        <f t="shared" si="54"/>
        <v>0.15427500000000002</v>
      </c>
      <c r="AN103" s="136">
        <f t="shared" si="61"/>
        <v>0.11485541129782169</v>
      </c>
      <c r="AO103" s="133">
        <f t="shared" si="55"/>
        <v>1.0132906457910698</v>
      </c>
      <c r="AP103" s="132">
        <f t="shared" si="39"/>
        <v>0.36135293099981036</v>
      </c>
      <c r="AQ103" s="137">
        <f t="shared" si="40"/>
        <v>0.9102783758010492</v>
      </c>
      <c r="AR103" s="137">
        <f t="shared" si="41"/>
        <v>4.0343867167912884E-2</v>
      </c>
      <c r="AS103" s="1">
        <f t="shared" si="42"/>
        <v>5.9279999999999999E-2</v>
      </c>
      <c r="AT103" s="133">
        <f t="shared" si="56"/>
        <v>4.8560000000000006E-2</v>
      </c>
      <c r="AU103" s="132">
        <f t="shared" si="57"/>
        <v>4.1257415880561688</v>
      </c>
      <c r="AV103" s="1">
        <f t="shared" si="58"/>
        <v>90</v>
      </c>
      <c r="AW103" s="133">
        <f t="shared" si="59"/>
        <v>95.616776539076227</v>
      </c>
    </row>
    <row r="104" spans="17:49" x14ac:dyDescent="0.25">
      <c r="Q104">
        <v>97</v>
      </c>
      <c r="R104" s="132">
        <f t="shared" si="32"/>
        <v>18</v>
      </c>
      <c r="S104" s="1">
        <f t="shared" si="62"/>
        <v>5</v>
      </c>
      <c r="T104" s="1">
        <f t="shared" si="63"/>
        <v>12.146666666666667</v>
      </c>
      <c r="U104" s="133">
        <f t="shared" si="43"/>
        <v>7.4094401756311745</v>
      </c>
      <c r="V104" s="132">
        <f>IF(Calculations!$B$17=3,2,IF((S104*R104/T104)&lt;((T104*(1-(T104/R104)))/(2*Lm*fsw)),1,2))</f>
        <v>2</v>
      </c>
      <c r="W104" s="1">
        <f t="shared" si="44"/>
        <v>0.32518518518518524</v>
      </c>
      <c r="X104" s="133">
        <f t="shared" si="35"/>
        <v>0.67481481481481476</v>
      </c>
      <c r="Y104" s="132">
        <f t="shared" si="36"/>
        <v>1.5799664197530867</v>
      </c>
      <c r="Z104" s="1">
        <f t="shared" si="45"/>
        <v>8.1994233855077177</v>
      </c>
      <c r="AA104" s="1">
        <f t="shared" si="46"/>
        <v>7.423464703686971</v>
      </c>
      <c r="AB104" s="1">
        <v>0</v>
      </c>
      <c r="AC104" s="1">
        <f t="shared" si="47"/>
        <v>0.90927916541362386</v>
      </c>
      <c r="AD104" s="133">
        <f t="shared" si="48"/>
        <v>0.90927916541362386</v>
      </c>
      <c r="AE104" s="132">
        <f t="shared" si="60"/>
        <v>2.409440175631175</v>
      </c>
      <c r="AF104" s="1">
        <f t="shared" si="49"/>
        <v>4.2332315458299332</v>
      </c>
      <c r="AG104" s="1">
        <f t="shared" si="37"/>
        <v>0.3584049864121937</v>
      </c>
      <c r="AH104" s="1">
        <f t="shared" si="50"/>
        <v>0.4229176540144538</v>
      </c>
      <c r="AI104" s="133">
        <f t="shared" si="51"/>
        <v>0.78132264042664756</v>
      </c>
      <c r="AJ104" s="132">
        <f t="shared" si="52"/>
        <v>5</v>
      </c>
      <c r="AK104" s="1">
        <f t="shared" si="53"/>
        <v>6.0981619268658802</v>
      </c>
      <c r="AL104" s="1">
        <f t="shared" si="38"/>
        <v>0.74375157772553169</v>
      </c>
      <c r="AM104" s="1">
        <f t="shared" si="54"/>
        <v>0.15427500000000002</v>
      </c>
      <c r="AN104" s="136">
        <f t="shared" si="61"/>
        <v>0.11479192739710804</v>
      </c>
      <c r="AO104" s="133">
        <f t="shared" si="55"/>
        <v>1.0128185051226397</v>
      </c>
      <c r="AP104" s="132">
        <f t="shared" si="39"/>
        <v>0.36095627475510517</v>
      </c>
      <c r="AQ104" s="137">
        <f t="shared" si="40"/>
        <v>0.90927916541362386</v>
      </c>
      <c r="AR104" s="137">
        <f t="shared" si="41"/>
        <v>4.0289127011872837E-2</v>
      </c>
      <c r="AS104" s="1">
        <f t="shared" si="42"/>
        <v>5.9279999999999999E-2</v>
      </c>
      <c r="AT104" s="133">
        <f t="shared" si="56"/>
        <v>4.8586666666666667E-2</v>
      </c>
      <c r="AU104" s="132">
        <f t="shared" si="57"/>
        <v>4.1218115448101802</v>
      </c>
      <c r="AV104" s="1">
        <f t="shared" si="58"/>
        <v>90</v>
      </c>
      <c r="AW104" s="133">
        <f t="shared" si="59"/>
        <v>95.620769004379142</v>
      </c>
    </row>
    <row r="105" spans="17:49" x14ac:dyDescent="0.25">
      <c r="Q105">
        <v>98</v>
      </c>
      <c r="R105" s="132">
        <f t="shared" si="32"/>
        <v>18</v>
      </c>
      <c r="S105" s="1">
        <f t="shared" si="62"/>
        <v>5</v>
      </c>
      <c r="T105" s="1">
        <f t="shared" si="63"/>
        <v>12.153333333333332</v>
      </c>
      <c r="U105" s="133">
        <f t="shared" si="43"/>
        <v>7.4053757542512351</v>
      </c>
      <c r="V105" s="132">
        <f>IF(Calculations!$B$17=3,2,IF((S105*R105/T105)&lt;((T105*(1-(T105/R105)))/(2*Lm*fsw)),1,2))</f>
        <v>2</v>
      </c>
      <c r="W105" s="1">
        <f t="shared" si="44"/>
        <v>0.32481481481481489</v>
      </c>
      <c r="X105" s="133">
        <f t="shared" si="35"/>
        <v>0.67518518518518511</v>
      </c>
      <c r="Y105" s="132">
        <f t="shared" si="36"/>
        <v>1.5790330864197535</v>
      </c>
      <c r="Z105" s="1">
        <f t="shared" si="45"/>
        <v>8.1948922974611111</v>
      </c>
      <c r="AA105" s="1">
        <f t="shared" si="46"/>
        <v>7.4193914071384182</v>
      </c>
      <c r="AB105" s="1">
        <v>0</v>
      </c>
      <c r="AC105" s="1">
        <f t="shared" si="47"/>
        <v>0.90828158606327003</v>
      </c>
      <c r="AD105" s="133">
        <f t="shared" si="48"/>
        <v>0.90828158606327003</v>
      </c>
      <c r="AE105" s="132">
        <f t="shared" si="60"/>
        <v>2.4053757542512351</v>
      </c>
      <c r="AF105" s="1">
        <f t="shared" si="49"/>
        <v>4.2284986602586185</v>
      </c>
      <c r="AG105" s="1">
        <f t="shared" si="37"/>
        <v>0.35760401839617861</v>
      </c>
      <c r="AH105" s="1">
        <f t="shared" si="50"/>
        <v>0.42268566407807734</v>
      </c>
      <c r="AI105" s="133">
        <f t="shared" si="51"/>
        <v>0.78028968247425601</v>
      </c>
      <c r="AJ105" s="132">
        <f t="shared" si="52"/>
        <v>5</v>
      </c>
      <c r="AK105" s="1">
        <f t="shared" si="53"/>
        <v>6.0964881638948878</v>
      </c>
      <c r="AL105" s="1">
        <f t="shared" si="38"/>
        <v>0.74334335865020917</v>
      </c>
      <c r="AM105" s="1">
        <f t="shared" si="54"/>
        <v>0.15427500000000002</v>
      </c>
      <c r="AN105" s="136">
        <f t="shared" si="61"/>
        <v>0.11472849216445556</v>
      </c>
      <c r="AO105" s="133">
        <f t="shared" si="55"/>
        <v>1.0123468508146647</v>
      </c>
      <c r="AP105" s="132">
        <f t="shared" si="39"/>
        <v>0.36056026598269197</v>
      </c>
      <c r="AQ105" s="137">
        <f t="shared" si="40"/>
        <v>0.90828158606327003</v>
      </c>
      <c r="AR105" s="137">
        <f t="shared" si="41"/>
        <v>4.0234312953416854E-2</v>
      </c>
      <c r="AS105" s="1">
        <f t="shared" si="42"/>
        <v>5.9279999999999999E-2</v>
      </c>
      <c r="AT105" s="133">
        <f t="shared" si="56"/>
        <v>4.8613333333333328E-2</v>
      </c>
      <c r="AU105" s="132">
        <f t="shared" si="57"/>
        <v>4.1178876176849029</v>
      </c>
      <c r="AV105" s="1">
        <f t="shared" si="58"/>
        <v>90</v>
      </c>
      <c r="AW105" s="133">
        <f t="shared" si="59"/>
        <v>95.624755589062815</v>
      </c>
    </row>
    <row r="106" spans="17:49" x14ac:dyDescent="0.25">
      <c r="Q106">
        <v>99</v>
      </c>
      <c r="R106" s="132">
        <f t="shared" si="32"/>
        <v>18</v>
      </c>
      <c r="S106" s="1">
        <f t="shared" si="62"/>
        <v>5</v>
      </c>
      <c r="T106" s="1">
        <f t="shared" si="63"/>
        <v>12.16</v>
      </c>
      <c r="U106" s="133">
        <f t="shared" si="43"/>
        <v>7.4013157894736841</v>
      </c>
      <c r="V106" s="132">
        <f>IF(Calculations!$B$17=3,2,IF((S106*R106/T106)&lt;((T106*(1-(T106/R106)))/(2*Lm*fsw)),1,2))</f>
        <v>2</v>
      </c>
      <c r="W106" s="1">
        <f t="shared" si="44"/>
        <v>0.32444444444444442</v>
      </c>
      <c r="X106" s="133">
        <f t="shared" si="35"/>
        <v>0.67555555555555558</v>
      </c>
      <c r="Y106" s="132">
        <f t="shared" si="36"/>
        <v>1.5780977777777776</v>
      </c>
      <c r="Z106" s="1">
        <f t="shared" si="45"/>
        <v>8.1903646783625721</v>
      </c>
      <c r="AA106" s="1">
        <f t="shared" si="46"/>
        <v>7.4153225237925238</v>
      </c>
      <c r="AB106" s="1">
        <v>0</v>
      </c>
      <c r="AC106" s="1">
        <f t="shared" si="47"/>
        <v>0.90728563417576802</v>
      </c>
      <c r="AD106" s="133">
        <f t="shared" si="48"/>
        <v>0.90728563417576802</v>
      </c>
      <c r="AE106" s="132">
        <f t="shared" si="60"/>
        <v>2.4013157894736841</v>
      </c>
      <c r="AF106" s="1">
        <f t="shared" si="49"/>
        <v>4.2237695610680506</v>
      </c>
      <c r="AG106" s="1">
        <f t="shared" si="37"/>
        <v>0.35680458610009985</v>
      </c>
      <c r="AH106" s="1">
        <f t="shared" si="50"/>
        <v>0.42245392851663094</v>
      </c>
      <c r="AI106" s="133">
        <f t="shared" si="51"/>
        <v>0.77925851461673079</v>
      </c>
      <c r="AJ106" s="132">
        <f t="shared" si="52"/>
        <v>5</v>
      </c>
      <c r="AK106" s="1">
        <f t="shared" si="53"/>
        <v>6.0948157336263842</v>
      </c>
      <c r="AL106" s="1">
        <f t="shared" si="38"/>
        <v>0.74293557653719433</v>
      </c>
      <c r="AM106" s="1">
        <f t="shared" si="54"/>
        <v>0.15427500000000002</v>
      </c>
      <c r="AN106" s="136">
        <f t="shared" si="61"/>
        <v>0.11466510549707601</v>
      </c>
      <c r="AO106" s="133">
        <f t="shared" si="55"/>
        <v>1.0118756820342705</v>
      </c>
      <c r="AP106" s="132">
        <f t="shared" si="39"/>
        <v>0.36016490326371392</v>
      </c>
      <c r="AQ106" s="137">
        <f t="shared" si="40"/>
        <v>0.90728563417576802</v>
      </c>
      <c r="AR106" s="137">
        <f t="shared" si="41"/>
        <v>4.0179425253125352E-2</v>
      </c>
      <c r="AS106" s="1">
        <f t="shared" si="42"/>
        <v>5.9279999999999999E-2</v>
      </c>
      <c r="AT106" s="133">
        <f t="shared" si="56"/>
        <v>4.8640000000000003E-2</v>
      </c>
      <c r="AU106" s="132">
        <f t="shared" si="57"/>
        <v>4.1139697935193764</v>
      </c>
      <c r="AV106" s="1">
        <f t="shared" si="58"/>
        <v>90</v>
      </c>
      <c r="AW106" s="133">
        <f t="shared" si="59"/>
        <v>95.628736304987257</v>
      </c>
    </row>
    <row r="107" spans="17:49" x14ac:dyDescent="0.25">
      <c r="Q107">
        <v>100</v>
      </c>
      <c r="R107" s="132">
        <f t="shared" si="32"/>
        <v>18</v>
      </c>
      <c r="S107" s="1">
        <f t="shared" si="62"/>
        <v>5</v>
      </c>
      <c r="T107" s="1">
        <f t="shared" si="63"/>
        <v>12.166666666666666</v>
      </c>
      <c r="U107" s="133">
        <f t="shared" si="43"/>
        <v>7.397260273972603</v>
      </c>
      <c r="V107" s="132">
        <f>IF(Calculations!$B$17=3,2,IF((S107*R107/T107)&lt;((T107*(1-(T107/R107)))/(2*Lm*fsw)),1,2))</f>
        <v>2</v>
      </c>
      <c r="W107" s="1">
        <f t="shared" si="44"/>
        <v>0.32407407407407407</v>
      </c>
      <c r="X107" s="133">
        <f t="shared" si="35"/>
        <v>0.67592592592592593</v>
      </c>
      <c r="Y107" s="132">
        <f t="shared" si="36"/>
        <v>1.5771604938271604</v>
      </c>
      <c r="Z107" s="1">
        <f t="shared" si="45"/>
        <v>8.1858405208861829</v>
      </c>
      <c r="AA107" s="1">
        <f t="shared" si="46"/>
        <v>7.4112580463441331</v>
      </c>
      <c r="AB107" s="1">
        <v>0</v>
      </c>
      <c r="AC107" s="1">
        <f t="shared" si="47"/>
        <v>0.90629130618676079</v>
      </c>
      <c r="AD107" s="133">
        <f t="shared" si="48"/>
        <v>0.90629130618676079</v>
      </c>
      <c r="AE107" s="132">
        <f t="shared" si="60"/>
        <v>2.397260273972603</v>
      </c>
      <c r="AF107" s="1">
        <f t="shared" si="49"/>
        <v>4.2190442397061245</v>
      </c>
      <c r="AG107" s="1">
        <f t="shared" si="37"/>
        <v>0.35600668593194862</v>
      </c>
      <c r="AH107" s="1">
        <f t="shared" si="50"/>
        <v>0.42222244691196431</v>
      </c>
      <c r="AI107" s="133">
        <f t="shared" si="51"/>
        <v>0.77822913284391293</v>
      </c>
      <c r="AJ107" s="132">
        <f t="shared" si="52"/>
        <v>5</v>
      </c>
      <c r="AK107" s="1">
        <f t="shared" si="53"/>
        <v>6.09314463416906</v>
      </c>
      <c r="AL107" s="1">
        <f t="shared" si="38"/>
        <v>0.74252823065806417</v>
      </c>
      <c r="AM107" s="1">
        <f t="shared" si="54"/>
        <v>0.15427500000000002</v>
      </c>
      <c r="AN107" s="136">
        <f t="shared" si="61"/>
        <v>0.11460176729240656</v>
      </c>
      <c r="AO107" s="133">
        <f t="shared" si="55"/>
        <v>1.0114049979504709</v>
      </c>
      <c r="AP107" s="132">
        <f t="shared" si="39"/>
        <v>0.35977018518322923</v>
      </c>
      <c r="AQ107" s="137">
        <f t="shared" si="40"/>
        <v>0.90629130618676079</v>
      </c>
      <c r="AR107" s="137">
        <f t="shared" si="41"/>
        <v>4.0124464172046577E-2</v>
      </c>
      <c r="AS107" s="1">
        <f t="shared" si="42"/>
        <v>5.9279999999999999E-2</v>
      </c>
      <c r="AT107" s="133">
        <f t="shared" si="56"/>
        <v>4.8666666666666664E-2</v>
      </c>
      <c r="AU107" s="132">
        <f t="shared" si="57"/>
        <v>4.1100580591898472</v>
      </c>
      <c r="AV107" s="1">
        <f t="shared" si="58"/>
        <v>90</v>
      </c>
      <c r="AW107" s="133">
        <f t="shared" si="59"/>
        <v>95.632711163981156</v>
      </c>
    </row>
    <row r="108" spans="17:49" x14ac:dyDescent="0.25">
      <c r="Q108">
        <v>101</v>
      </c>
      <c r="R108" s="132">
        <f t="shared" si="32"/>
        <v>18</v>
      </c>
      <c r="S108" s="1">
        <f t="shared" si="62"/>
        <v>5</v>
      </c>
      <c r="T108" s="1">
        <f t="shared" si="63"/>
        <v>12.173333333333334</v>
      </c>
      <c r="U108" s="133">
        <f t="shared" si="43"/>
        <v>7.3932092004381156</v>
      </c>
      <c r="V108" s="132">
        <f>IF(Calculations!$B$17=3,2,IF((S108*R108/T108)&lt;((T108*(1-(T108/R108)))/(2*Lm*fsw)),1,2))</f>
        <v>2</v>
      </c>
      <c r="W108" s="1">
        <f t="shared" si="44"/>
        <v>0.32370370370370372</v>
      </c>
      <c r="X108" s="133">
        <f t="shared" si="35"/>
        <v>0.67629629629629628</v>
      </c>
      <c r="Y108" s="132">
        <f t="shared" si="36"/>
        <v>1.5762212345679014</v>
      </c>
      <c r="Z108" s="1">
        <f t="shared" si="45"/>
        <v>8.1813198177220663</v>
      </c>
      <c r="AA108" s="1">
        <f t="shared" si="46"/>
        <v>7.4071979675044037</v>
      </c>
      <c r="AB108" s="1">
        <v>0</v>
      </c>
      <c r="AC108" s="1">
        <f t="shared" si="47"/>
        <v>0.90529859854172257</v>
      </c>
      <c r="AD108" s="133">
        <f t="shared" si="48"/>
        <v>0.90529859854172257</v>
      </c>
      <c r="AE108" s="132">
        <f t="shared" si="60"/>
        <v>2.393209200438116</v>
      </c>
      <c r="AF108" s="1">
        <f t="shared" si="49"/>
        <v>4.2143226876330511</v>
      </c>
      <c r="AG108" s="1">
        <f t="shared" si="37"/>
        <v>0.35521031430997324</v>
      </c>
      <c r="AH108" s="1">
        <f t="shared" si="50"/>
        <v>0.42199121884684271</v>
      </c>
      <c r="AI108" s="133">
        <f t="shared" si="51"/>
        <v>0.77720153315681595</v>
      </c>
      <c r="AJ108" s="132">
        <f t="shared" si="52"/>
        <v>5</v>
      </c>
      <c r="AK108" s="1">
        <f t="shared" si="53"/>
        <v>6.0914748636354643</v>
      </c>
      <c r="AL108" s="1">
        <f t="shared" si="38"/>
        <v>0.74212132028605393</v>
      </c>
      <c r="AM108" s="1">
        <f t="shared" si="54"/>
        <v>0.15427500000000002</v>
      </c>
      <c r="AN108" s="136">
        <f t="shared" si="61"/>
        <v>0.11453847744810892</v>
      </c>
      <c r="AO108" s="133">
        <f t="shared" si="55"/>
        <v>1.0109347977341629</v>
      </c>
      <c r="AP108" s="132">
        <f t="shared" si="39"/>
        <v>0.35937611033019895</v>
      </c>
      <c r="AQ108" s="137">
        <f t="shared" si="40"/>
        <v>0.90529859854172257</v>
      </c>
      <c r="AR108" s="137">
        <f t="shared" si="41"/>
        <v>4.0069429971695728E-2</v>
      </c>
      <c r="AS108" s="1">
        <f t="shared" si="42"/>
        <v>5.9279999999999999E-2</v>
      </c>
      <c r="AT108" s="133">
        <f t="shared" si="56"/>
        <v>4.8693333333333338E-2</v>
      </c>
      <c r="AU108" s="132">
        <f t="shared" si="57"/>
        <v>4.1061524016096511</v>
      </c>
      <c r="AV108" s="1">
        <f t="shared" si="58"/>
        <v>90</v>
      </c>
      <c r="AW108" s="133">
        <f t="shared" si="59"/>
        <v>95.63668017784201</v>
      </c>
    </row>
    <row r="109" spans="17:49" x14ac:dyDescent="0.25">
      <c r="Q109">
        <v>102</v>
      </c>
      <c r="R109" s="132">
        <f t="shared" si="32"/>
        <v>18</v>
      </c>
      <c r="S109" s="1">
        <f t="shared" si="62"/>
        <v>5</v>
      </c>
      <c r="T109" s="1">
        <f t="shared" si="63"/>
        <v>12.18</v>
      </c>
      <c r="U109" s="133">
        <f t="shared" si="43"/>
        <v>7.389162561576355</v>
      </c>
      <c r="V109" s="132">
        <f>IF(Calculations!$B$17=3,2,IF((S109*R109/T109)&lt;((T109*(1-(T109/R109)))/(2*Lm*fsw)),1,2))</f>
        <v>2</v>
      </c>
      <c r="W109" s="1">
        <f t="shared" si="44"/>
        <v>0.32333333333333336</v>
      </c>
      <c r="X109" s="133">
        <f t="shared" si="35"/>
        <v>0.67666666666666664</v>
      </c>
      <c r="Y109" s="132">
        <f t="shared" si="36"/>
        <v>1.57528</v>
      </c>
      <c r="Z109" s="1">
        <f t="shared" si="45"/>
        <v>8.1768025615763555</v>
      </c>
      <c r="AA109" s="1">
        <f t="shared" si="46"/>
        <v>7.4031422800007682</v>
      </c>
      <c r="AB109" s="1">
        <v>0</v>
      </c>
      <c r="AC109" s="1">
        <f t="shared" si="47"/>
        <v>0.90430750769592705</v>
      </c>
      <c r="AD109" s="133">
        <f t="shared" si="48"/>
        <v>0.90430750769592705</v>
      </c>
      <c r="AE109" s="132">
        <f t="shared" si="60"/>
        <v>2.389162561576355</v>
      </c>
      <c r="AF109" s="1">
        <f t="shared" si="49"/>
        <v>4.2096048963213057</v>
      </c>
      <c r="AG109" s="1">
        <f t="shared" si="37"/>
        <v>0.35441546766264626</v>
      </c>
      <c r="AH109" s="1">
        <f t="shared" si="50"/>
        <v>0.42176024390494515</v>
      </c>
      <c r="AI109" s="133">
        <f t="shared" si="51"/>
        <v>0.77617571156759135</v>
      </c>
      <c r="AJ109" s="132">
        <f t="shared" si="52"/>
        <v>5</v>
      </c>
      <c r="AK109" s="1">
        <f t="shared" si="53"/>
        <v>6.0898064201419952</v>
      </c>
      <c r="AL109" s="1">
        <f t="shared" si="38"/>
        <v>0.74171484469605331</v>
      </c>
      <c r="AM109" s="1">
        <f t="shared" si="54"/>
        <v>0.15427500000000002</v>
      </c>
      <c r="AN109" s="136">
        <f t="shared" si="61"/>
        <v>0.11447523586206898</v>
      </c>
      <c r="AO109" s="133">
        <f t="shared" si="55"/>
        <v>1.0104650805581223</v>
      </c>
      <c r="AP109" s="132">
        <f t="shared" si="39"/>
        <v>0.35898267729747402</v>
      </c>
      <c r="AQ109" s="137">
        <f t="shared" si="40"/>
        <v>0.90430750769592705</v>
      </c>
      <c r="AR109" s="137">
        <f t="shared" si="41"/>
        <v>4.0014322914055003E-2</v>
      </c>
      <c r="AS109" s="1">
        <f t="shared" si="42"/>
        <v>5.9279999999999999E-2</v>
      </c>
      <c r="AT109" s="133">
        <f t="shared" si="56"/>
        <v>4.8719999999999999E-2</v>
      </c>
      <c r="AU109" s="132">
        <f t="shared" si="57"/>
        <v>4.102252807729097</v>
      </c>
      <c r="AV109" s="1">
        <f t="shared" si="58"/>
        <v>90</v>
      </c>
      <c r="AW109" s="133">
        <f t="shared" si="59"/>
        <v>95.640643358336092</v>
      </c>
    </row>
    <row r="110" spans="17:49" x14ac:dyDescent="0.25">
      <c r="Q110">
        <v>103</v>
      </c>
      <c r="R110" s="132">
        <f t="shared" si="32"/>
        <v>18</v>
      </c>
      <c r="S110" s="1">
        <f t="shared" si="62"/>
        <v>5</v>
      </c>
      <c r="T110" s="1">
        <f t="shared" si="63"/>
        <v>12.186666666666667</v>
      </c>
      <c r="U110" s="133">
        <f t="shared" si="43"/>
        <v>7.3851203501094087</v>
      </c>
      <c r="V110" s="132">
        <f>IF(Calculations!$B$17=3,2,IF((S110*R110/T110)&lt;((T110*(1-(T110/R110)))/(2*Lm*fsw)),1,2))</f>
        <v>2</v>
      </c>
      <c r="W110" s="1">
        <f t="shared" si="44"/>
        <v>0.3229629629629629</v>
      </c>
      <c r="X110" s="133">
        <f t="shared" si="35"/>
        <v>0.6770370370370371</v>
      </c>
      <c r="Y110" s="132">
        <f t="shared" si="36"/>
        <v>1.5743367901234566</v>
      </c>
      <c r="Z110" s="1">
        <f t="shared" si="45"/>
        <v>8.1722887451711372</v>
      </c>
      <c r="AA110" s="1">
        <f t="shared" si="46"/>
        <v>7.3990909765768835</v>
      </c>
      <c r="AB110" s="1">
        <v>0</v>
      </c>
      <c r="AC110" s="1">
        <f t="shared" si="47"/>
        <v>0.90331803011441414</v>
      </c>
      <c r="AD110" s="133">
        <f t="shared" si="48"/>
        <v>0.90331803011441414</v>
      </c>
      <c r="AE110" s="132">
        <f t="shared" si="60"/>
        <v>2.3851203501094087</v>
      </c>
      <c r="AF110" s="1">
        <f t="shared" si="49"/>
        <v>4.2048908572555606</v>
      </c>
      <c r="AG110" s="1">
        <f t="shared" si="37"/>
        <v>0.35362214242862805</v>
      </c>
      <c r="AH110" s="1">
        <f t="shared" si="50"/>
        <v>0.4215295216708615</v>
      </c>
      <c r="AI110" s="133">
        <f t="shared" si="51"/>
        <v>0.77515166409948955</v>
      </c>
      <c r="AJ110" s="132">
        <f t="shared" si="52"/>
        <v>5</v>
      </c>
      <c r="AK110" s="1">
        <f t="shared" si="53"/>
        <v>6.0881393018088925</v>
      </c>
      <c r="AL110" s="1">
        <f t="shared" si="38"/>
        <v>0.74130880316460135</v>
      </c>
      <c r="AM110" s="1">
        <f t="shared" si="54"/>
        <v>0.15427500000000002</v>
      </c>
      <c r="AN110" s="136">
        <f t="shared" si="61"/>
        <v>0.11441204243239593</v>
      </c>
      <c r="AO110" s="133">
        <f t="shared" si="55"/>
        <v>1.0099958455969973</v>
      </c>
      <c r="AP110" s="132">
        <f t="shared" si="39"/>
        <v>0.35858988468178254</v>
      </c>
      <c r="AQ110" s="137">
        <f t="shared" si="40"/>
        <v>0.90331803011441414</v>
      </c>
      <c r="AR110" s="137">
        <f t="shared" si="41"/>
        <v>3.995914326157228E-2</v>
      </c>
      <c r="AS110" s="1">
        <f t="shared" si="42"/>
        <v>5.9279999999999999E-2</v>
      </c>
      <c r="AT110" s="133">
        <f t="shared" si="56"/>
        <v>4.8746666666666667E-2</v>
      </c>
      <c r="AU110" s="132">
        <f t="shared" si="57"/>
        <v>4.0983592645353362</v>
      </c>
      <c r="AV110" s="1">
        <f t="shared" si="58"/>
        <v>90</v>
      </c>
      <c r="AW110" s="133">
        <f t="shared" si="59"/>
        <v>95.644600717198742</v>
      </c>
    </row>
    <row r="111" spans="17:49" x14ac:dyDescent="0.25">
      <c r="Q111">
        <v>104</v>
      </c>
      <c r="R111" s="132">
        <f t="shared" si="32"/>
        <v>18</v>
      </c>
      <c r="S111" s="1">
        <f t="shared" si="62"/>
        <v>5</v>
      </c>
      <c r="T111" s="1">
        <f t="shared" si="63"/>
        <v>12.193333333333333</v>
      </c>
      <c r="U111" s="133">
        <f t="shared" si="43"/>
        <v>7.3810825587752866</v>
      </c>
      <c r="V111" s="132">
        <f>IF(Calculations!$B$17=3,2,IF((S111*R111/T111)&lt;((T111*(1-(T111/R111)))/(2*Lm*fsw)),1,2))</f>
        <v>2</v>
      </c>
      <c r="W111" s="1">
        <f t="shared" si="44"/>
        <v>0.32259259259259254</v>
      </c>
      <c r="X111" s="133">
        <f t="shared" si="35"/>
        <v>0.67740740740740746</v>
      </c>
      <c r="Y111" s="132">
        <f t="shared" si="36"/>
        <v>1.5733916049382715</v>
      </c>
      <c r="Z111" s="1">
        <f t="shared" si="45"/>
        <v>8.167778361244423</v>
      </c>
      <c r="AA111" s="1">
        <f t="shared" si="46"/>
        <v>7.3950440499925971</v>
      </c>
      <c r="AB111" s="1">
        <v>0</v>
      </c>
      <c r="AC111" s="1">
        <f t="shared" si="47"/>
        <v>0.90233016227196017</v>
      </c>
      <c r="AD111" s="133">
        <f t="shared" si="48"/>
        <v>0.90233016227196017</v>
      </c>
      <c r="AE111" s="132">
        <f t="shared" si="60"/>
        <v>2.3810825587752866</v>
      </c>
      <c r="AF111" s="1">
        <f t="shared" si="49"/>
        <v>4.200180561932636</v>
      </c>
      <c r="AG111" s="1">
        <f t="shared" si="37"/>
        <v>0.35283033505673511</v>
      </c>
      <c r="AH111" s="1">
        <f t="shared" si="50"/>
        <v>0.42129905173009013</v>
      </c>
      <c r="AI111" s="133">
        <f t="shared" si="51"/>
        <v>0.7741293867868253</v>
      </c>
      <c r="AJ111" s="132">
        <f t="shared" si="52"/>
        <v>5</v>
      </c>
      <c r="AK111" s="1">
        <f t="shared" si="53"/>
        <v>6.0864735067602309</v>
      </c>
      <c r="AL111" s="1">
        <f t="shared" si="38"/>
        <v>0.74090319496988377</v>
      </c>
      <c r="AM111" s="1">
        <f t="shared" si="54"/>
        <v>0.15427500000000002</v>
      </c>
      <c r="AN111" s="136">
        <f t="shared" si="61"/>
        <v>0.11434889705742192</v>
      </c>
      <c r="AO111" s="133">
        <f t="shared" si="55"/>
        <v>1.0095270920273058</v>
      </c>
      <c r="AP111" s="132">
        <f t="shared" si="39"/>
        <v>0.35819773108371744</v>
      </c>
      <c r="AQ111" s="137">
        <f t="shared" si="40"/>
        <v>0.90233016227196017</v>
      </c>
      <c r="AR111" s="137">
        <f t="shared" si="41"/>
        <v>3.9903891277161083E-2</v>
      </c>
      <c r="AS111" s="1">
        <f t="shared" si="42"/>
        <v>5.9279999999999999E-2</v>
      </c>
      <c r="AT111" s="133">
        <f t="shared" si="56"/>
        <v>4.8773333333333335E-2</v>
      </c>
      <c r="AU111" s="132">
        <f t="shared" si="57"/>
        <v>4.0944717590522641</v>
      </c>
      <c r="AV111" s="1">
        <f t="shared" si="58"/>
        <v>90</v>
      </c>
      <c r="AW111" s="133">
        <f t="shared" si="59"/>
        <v>95.648552266134217</v>
      </c>
    </row>
    <row r="112" spans="17:49" x14ac:dyDescent="0.25">
      <c r="Q112">
        <v>105</v>
      </c>
      <c r="R112" s="132">
        <f t="shared" si="32"/>
        <v>18</v>
      </c>
      <c r="S112" s="1">
        <f t="shared" si="62"/>
        <v>5</v>
      </c>
      <c r="T112" s="1">
        <f t="shared" si="63"/>
        <v>12.2</v>
      </c>
      <c r="U112" s="133">
        <f t="shared" si="43"/>
        <v>7.3770491803278695</v>
      </c>
      <c r="V112" s="132">
        <f>IF(Calculations!$B$17=3,2,IF((S112*R112/T112)&lt;((T112*(1-(T112/R112)))/(2*Lm*fsw)),1,2))</f>
        <v>2</v>
      </c>
      <c r="W112" s="1">
        <f t="shared" si="44"/>
        <v>0.3222222222222223</v>
      </c>
      <c r="X112" s="133">
        <f t="shared" si="35"/>
        <v>0.6777777777777777</v>
      </c>
      <c r="Y112" s="132">
        <f t="shared" si="36"/>
        <v>1.5724444444444448</v>
      </c>
      <c r="Z112" s="1">
        <f t="shared" si="45"/>
        <v>8.163271402550091</v>
      </c>
      <c r="AA112" s="1">
        <f t="shared" si="46"/>
        <v>7.3910014930238948</v>
      </c>
      <c r="AB112" s="1">
        <v>0</v>
      </c>
      <c r="AC112" s="1">
        <f t="shared" si="47"/>
        <v>0.90134390065304382</v>
      </c>
      <c r="AD112" s="133">
        <f t="shared" si="48"/>
        <v>0.90134390065304382</v>
      </c>
      <c r="AE112" s="132">
        <f t="shared" si="60"/>
        <v>2.3770491803278695</v>
      </c>
      <c r="AF112" s="1">
        <f t="shared" si="49"/>
        <v>4.1954740018614265</v>
      </c>
      <c r="AG112" s="1">
        <f t="shared" si="37"/>
        <v>0.35204004200590272</v>
      </c>
      <c r="AH112" s="1">
        <f t="shared" si="50"/>
        <v>0.42106883366903552</v>
      </c>
      <c r="AI112" s="133">
        <f t="shared" si="51"/>
        <v>0.77310887567493825</v>
      </c>
      <c r="AJ112" s="132">
        <f t="shared" si="52"/>
        <v>5</v>
      </c>
      <c r="AK112" s="1">
        <f t="shared" si="53"/>
        <v>6.0848090331239071</v>
      </c>
      <c r="AL112" s="1">
        <f t="shared" si="38"/>
        <v>0.74049801939172599</v>
      </c>
      <c r="AM112" s="1">
        <f t="shared" si="54"/>
        <v>0.15427500000000002</v>
      </c>
      <c r="AN112" s="136">
        <f t="shared" si="61"/>
        <v>0.11428579963570128</v>
      </c>
      <c r="AO112" s="133">
        <f t="shared" si="55"/>
        <v>1.0090588190274272</v>
      </c>
      <c r="AP112" s="132">
        <f t="shared" si="39"/>
        <v>0.35780621510772342</v>
      </c>
      <c r="AQ112" s="137">
        <f t="shared" si="40"/>
        <v>0.90134390065304382</v>
      </c>
      <c r="AR112" s="137">
        <f t="shared" si="41"/>
        <v>3.9848567224199882E-2</v>
      </c>
      <c r="AS112" s="1">
        <f t="shared" si="42"/>
        <v>5.9279999999999999E-2</v>
      </c>
      <c r="AT112" s="133">
        <f t="shared" si="56"/>
        <v>4.8799999999999996E-2</v>
      </c>
      <c r="AU112" s="132">
        <f t="shared" si="57"/>
        <v>4.0905902783403763</v>
      </c>
      <c r="AV112" s="1">
        <f t="shared" si="58"/>
        <v>90</v>
      </c>
      <c r="AW112" s="133">
        <f t="shared" si="59"/>
        <v>95.652498016816011</v>
      </c>
    </row>
    <row r="113" spans="17:49" x14ac:dyDescent="0.25">
      <c r="Q113">
        <v>106</v>
      </c>
      <c r="R113" s="132">
        <f t="shared" si="32"/>
        <v>18</v>
      </c>
      <c r="S113" s="1">
        <f t="shared" si="62"/>
        <v>5</v>
      </c>
      <c r="T113" s="1">
        <f t="shared" si="63"/>
        <v>12.206666666666667</v>
      </c>
      <c r="U113" s="133">
        <f t="shared" si="43"/>
        <v>7.3730202075368645</v>
      </c>
      <c r="V113" s="132">
        <f>IF(Calculations!$B$17=3,2,IF((S113*R113/T113)&lt;((T113*(1-(T113/R113)))/(2*Lm*fsw)),1,2))</f>
        <v>2</v>
      </c>
      <c r="W113" s="1">
        <f t="shared" si="44"/>
        <v>0.32185185185185183</v>
      </c>
      <c r="X113" s="133">
        <f t="shared" si="35"/>
        <v>0.67814814814814817</v>
      </c>
      <c r="Y113" s="132">
        <f t="shared" si="36"/>
        <v>1.5714953086419752</v>
      </c>
      <c r="Z113" s="1">
        <f t="shared" si="45"/>
        <v>8.1587678618578519</v>
      </c>
      <c r="AA113" s="1">
        <f t="shared" si="46"/>
        <v>7.3869632984628577</v>
      </c>
      <c r="AB113" s="1">
        <v>0</v>
      </c>
      <c r="AC113" s="1">
        <f t="shared" si="47"/>
        <v>0.90035924175181492</v>
      </c>
      <c r="AD113" s="133">
        <f t="shared" si="48"/>
        <v>0.90035924175181492</v>
      </c>
      <c r="AE113" s="132">
        <f t="shared" si="60"/>
        <v>2.3730202075368649</v>
      </c>
      <c r="AF113" s="1">
        <f t="shared" si="49"/>
        <v>4.190771168562847</v>
      </c>
      <c r="AG113" s="1">
        <f t="shared" si="37"/>
        <v>0.3512512597451522</v>
      </c>
      <c r="AH113" s="1">
        <f t="shared" si="50"/>
        <v>0.4208388670750054</v>
      </c>
      <c r="AI113" s="133">
        <f t="shared" si="51"/>
        <v>0.77209012682015765</v>
      </c>
      <c r="AJ113" s="132">
        <f t="shared" si="52"/>
        <v>5</v>
      </c>
      <c r="AK113" s="1">
        <f t="shared" si="53"/>
        <v>6.0831458790316404</v>
      </c>
      <c r="AL113" s="1">
        <f t="shared" si="38"/>
        <v>0.74009327571159267</v>
      </c>
      <c r="AM113" s="1">
        <f t="shared" si="54"/>
        <v>0.15427500000000002</v>
      </c>
      <c r="AN113" s="136">
        <f t="shared" si="61"/>
        <v>0.11422275006600993</v>
      </c>
      <c r="AO113" s="133">
        <f t="shared" si="55"/>
        <v>1.0085910257776027</v>
      </c>
      <c r="AP113" s="132">
        <f t="shared" si="39"/>
        <v>0.35741533536208409</v>
      </c>
      <c r="AQ113" s="137">
        <f t="shared" si="40"/>
        <v>0.90035924175181492</v>
      </c>
      <c r="AR113" s="137">
        <f t="shared" si="41"/>
        <v>3.9793171366531155E-2</v>
      </c>
      <c r="AS113" s="1">
        <f t="shared" si="42"/>
        <v>5.9279999999999999E-2</v>
      </c>
      <c r="AT113" s="133">
        <f t="shared" si="56"/>
        <v>4.8826666666666671E-2</v>
      </c>
      <c r="AU113" s="132">
        <f t="shared" si="57"/>
        <v>4.0867148094966721</v>
      </c>
      <c r="AV113" s="1">
        <f t="shared" si="58"/>
        <v>90</v>
      </c>
      <c r="AW113" s="133">
        <f t="shared" si="59"/>
        <v>95.656437980886778</v>
      </c>
    </row>
    <row r="114" spans="17:49" x14ac:dyDescent="0.25">
      <c r="Q114">
        <v>107</v>
      </c>
      <c r="R114" s="132">
        <f t="shared" si="32"/>
        <v>18</v>
      </c>
      <c r="S114" s="1">
        <f t="shared" si="62"/>
        <v>5</v>
      </c>
      <c r="T114" s="1">
        <f t="shared" si="63"/>
        <v>12.213333333333333</v>
      </c>
      <c r="U114" s="133">
        <f t="shared" si="43"/>
        <v>7.3689956331877733</v>
      </c>
      <c r="V114" s="132">
        <f>IF(Calculations!$B$17=3,2,IF((S114*R114/T114)&lt;((T114*(1-(T114/R114)))/(2*Lm*fsw)),1,2))</f>
        <v>2</v>
      </c>
      <c r="W114" s="1">
        <f t="shared" si="44"/>
        <v>0.32148148148148148</v>
      </c>
      <c r="X114" s="133">
        <f t="shared" si="35"/>
        <v>0.67851851851851852</v>
      </c>
      <c r="Y114" s="132">
        <f t="shared" si="36"/>
        <v>1.5705441975308641</v>
      </c>
      <c r="Z114" s="1">
        <f t="shared" si="45"/>
        <v>8.1542677319532046</v>
      </c>
      <c r="AA114" s="1">
        <f t="shared" si="46"/>
        <v>7.3829294591176318</v>
      </c>
      <c r="AB114" s="1">
        <v>0</v>
      </c>
      <c r="AC114" s="1">
        <f t="shared" si="47"/>
        <v>0.89937618207206493</v>
      </c>
      <c r="AD114" s="133">
        <f t="shared" si="48"/>
        <v>0.89937618207206493</v>
      </c>
      <c r="AE114" s="132">
        <f t="shared" si="60"/>
        <v>2.3689956331877728</v>
      </c>
      <c r="AF114" s="1">
        <f t="shared" si="49"/>
        <v>4.1860720535697826</v>
      </c>
      <c r="AG114" s="1">
        <f t="shared" si="37"/>
        <v>0.35046398475355872</v>
      </c>
      <c r="AH114" s="1">
        <f t="shared" si="50"/>
        <v>0.42060915153620904</v>
      </c>
      <c r="AI114" s="133">
        <f t="shared" si="51"/>
        <v>0.77107313628976781</v>
      </c>
      <c r="AJ114" s="132">
        <f t="shared" si="52"/>
        <v>5</v>
      </c>
      <c r="AK114" s="1">
        <f t="shared" si="53"/>
        <v>6.0814840426189569</v>
      </c>
      <c r="AL114" s="1">
        <f t="shared" si="38"/>
        <v>0.73968896321258026</v>
      </c>
      <c r="AM114" s="1">
        <f t="shared" si="54"/>
        <v>0.15427500000000002</v>
      </c>
      <c r="AN114" s="136">
        <f t="shared" si="61"/>
        <v>0.11415974824734487</v>
      </c>
      <c r="AO114" s="133">
        <f t="shared" si="55"/>
        <v>1.0081237114599251</v>
      </c>
      <c r="AP114" s="132">
        <f t="shared" si="39"/>
        <v>0.35702509045891057</v>
      </c>
      <c r="AQ114" s="137">
        <f t="shared" si="40"/>
        <v>0.89937618207206493</v>
      </c>
      <c r="AR114" s="137">
        <f t="shared" si="41"/>
        <v>3.9737703968461421E-2</v>
      </c>
      <c r="AS114" s="1">
        <f t="shared" si="42"/>
        <v>5.9279999999999999E-2</v>
      </c>
      <c r="AT114" s="133">
        <f t="shared" si="56"/>
        <v>4.8853333333333332E-2</v>
      </c>
      <c r="AU114" s="132">
        <f t="shared" si="57"/>
        <v>4.0828453396545275</v>
      </c>
      <c r="AV114" s="1">
        <f t="shared" si="58"/>
        <v>90</v>
      </c>
      <c r="AW114" s="133">
        <f t="shared" si="59"/>
        <v>95.660372169958535</v>
      </c>
    </row>
    <row r="115" spans="17:49" x14ac:dyDescent="0.25">
      <c r="Q115">
        <v>108</v>
      </c>
      <c r="R115" s="132">
        <f t="shared" si="32"/>
        <v>18</v>
      </c>
      <c r="S115" s="1">
        <f t="shared" si="62"/>
        <v>5</v>
      </c>
      <c r="T115" s="1">
        <f t="shared" si="63"/>
        <v>12.22</v>
      </c>
      <c r="U115" s="133">
        <f t="shared" si="43"/>
        <v>7.3649754500818325</v>
      </c>
      <c r="V115" s="132">
        <f>IF(Calculations!$B$17=3,2,IF((S115*R115/T115)&lt;((T115*(1-(T115/R115)))/(2*Lm*fsw)),1,2))</f>
        <v>2</v>
      </c>
      <c r="W115" s="1">
        <f t="shared" si="44"/>
        <v>0.32111111111111112</v>
      </c>
      <c r="X115" s="133">
        <f t="shared" si="35"/>
        <v>0.67888888888888888</v>
      </c>
      <c r="Y115" s="132">
        <f t="shared" si="36"/>
        <v>1.5695911111111112</v>
      </c>
      <c r="Z115" s="1">
        <f t="shared" si="45"/>
        <v>8.1497710056373887</v>
      </c>
      <c r="AA115" s="1">
        <f t="shared" si="46"/>
        <v>7.3788999678123668</v>
      </c>
      <c r="AB115" s="1">
        <v>0</v>
      </c>
      <c r="AC115" s="1">
        <f t="shared" si="47"/>
        <v>0.89839471812719229</v>
      </c>
      <c r="AD115" s="133">
        <f t="shared" si="48"/>
        <v>0.89839471812719229</v>
      </c>
      <c r="AE115" s="132">
        <f t="shared" si="60"/>
        <v>2.364975450081833</v>
      </c>
      <c r="AF115" s="1">
        <f t="shared" si="49"/>
        <v>4.1813766484270074</v>
      </c>
      <c r="AG115" s="1">
        <f t="shared" si="37"/>
        <v>0.34967821352021344</v>
      </c>
      <c r="AH115" s="1">
        <f t="shared" si="50"/>
        <v>0.42037968664175385</v>
      </c>
      <c r="AI115" s="133">
        <f t="shared" si="51"/>
        <v>0.77005790016196729</v>
      </c>
      <c r="AJ115" s="132">
        <f t="shared" si="52"/>
        <v>4.9999999999999991</v>
      </c>
      <c r="AK115" s="1">
        <f t="shared" si="53"/>
        <v>6.0798235220251806</v>
      </c>
      <c r="AL115" s="1">
        <f t="shared" si="38"/>
        <v>0.73928508117941349</v>
      </c>
      <c r="AM115" s="1">
        <f t="shared" si="54"/>
        <v>0.15427500000000002</v>
      </c>
      <c r="AN115" s="136">
        <f t="shared" si="61"/>
        <v>0.11409679407892344</v>
      </c>
      <c r="AO115" s="133">
        <f t="shared" si="55"/>
        <v>1.007656875258337</v>
      </c>
      <c r="AP115" s="132">
        <f t="shared" si="39"/>
        <v>0.35663547901412779</v>
      </c>
      <c r="AQ115" s="137">
        <f t="shared" si="40"/>
        <v>0.89839471812719229</v>
      </c>
      <c r="AR115" s="137">
        <f t="shared" si="41"/>
        <v>3.9682165294759937E-2</v>
      </c>
      <c r="AS115" s="1">
        <f t="shared" si="42"/>
        <v>5.9279999999999999E-2</v>
      </c>
      <c r="AT115" s="133">
        <f t="shared" si="56"/>
        <v>4.8880000000000007E-2</v>
      </c>
      <c r="AU115" s="132">
        <f t="shared" si="57"/>
        <v>4.0789818559835771</v>
      </c>
      <c r="AV115" s="1">
        <f t="shared" si="58"/>
        <v>90</v>
      </c>
      <c r="AW115" s="133">
        <f t="shared" si="59"/>
        <v>95.664300595612644</v>
      </c>
    </row>
    <row r="116" spans="17:49" x14ac:dyDescent="0.25">
      <c r="Q116">
        <v>109</v>
      </c>
      <c r="R116" s="132">
        <f t="shared" si="32"/>
        <v>18</v>
      </c>
      <c r="S116" s="1">
        <f t="shared" si="62"/>
        <v>5</v>
      </c>
      <c r="T116" s="1">
        <f t="shared" si="63"/>
        <v>12.226666666666667</v>
      </c>
      <c r="U116" s="133">
        <f t="shared" si="43"/>
        <v>7.3609596510359872</v>
      </c>
      <c r="V116" s="132">
        <f>IF(Calculations!$B$17=3,2,IF((S116*R116/T116)&lt;((T116*(1-(T116/R116)))/(2*Lm*fsw)),1,2))</f>
        <v>2</v>
      </c>
      <c r="W116" s="1">
        <f t="shared" si="44"/>
        <v>0.32074074074074077</v>
      </c>
      <c r="X116" s="133">
        <f t="shared" si="35"/>
        <v>0.67925925925925923</v>
      </c>
      <c r="Y116" s="132">
        <f t="shared" si="36"/>
        <v>1.5686360493827161</v>
      </c>
      <c r="Z116" s="1">
        <f t="shared" si="45"/>
        <v>8.1452776757273444</v>
      </c>
      <c r="AA116" s="1">
        <f t="shared" si="46"/>
        <v>7.3748748173871919</v>
      </c>
      <c r="AB116" s="1">
        <v>0</v>
      </c>
      <c r="AC116" s="1">
        <f t="shared" si="47"/>
        <v>0.89741484644017422</v>
      </c>
      <c r="AD116" s="133">
        <f t="shared" si="48"/>
        <v>0.89741484644017422</v>
      </c>
      <c r="AE116" s="132">
        <f t="shared" si="60"/>
        <v>2.3609596510359872</v>
      </c>
      <c r="AF116" s="1">
        <f t="shared" si="49"/>
        <v>4.1766849446911438</v>
      </c>
      <c r="AG116" s="1">
        <f t="shared" si="37"/>
        <v>0.34889394254419331</v>
      </c>
      <c r="AH116" s="1">
        <f t="shared" si="50"/>
        <v>0.4201504719816439</v>
      </c>
      <c r="AI116" s="133">
        <f t="shared" si="51"/>
        <v>0.76904441452583727</v>
      </c>
      <c r="AJ116" s="132">
        <f t="shared" si="52"/>
        <v>5</v>
      </c>
      <c r="AK116" s="1">
        <f t="shared" si="53"/>
        <v>6.0781643153934297</v>
      </c>
      <c r="AL116" s="1">
        <f t="shared" si="38"/>
        <v>0.73888162889844156</v>
      </c>
      <c r="AM116" s="1">
        <f t="shared" si="54"/>
        <v>0.15427500000000002</v>
      </c>
      <c r="AN116" s="136">
        <f t="shared" si="61"/>
        <v>0.11403388746018282</v>
      </c>
      <c r="AO116" s="133">
        <f t="shared" si="55"/>
        <v>1.0071905163586243</v>
      </c>
      <c r="AP116" s="132">
        <f t="shared" si="39"/>
        <v>0.35624649964746308</v>
      </c>
      <c r="AQ116" s="137">
        <f t="shared" si="40"/>
        <v>0.89741484644017422</v>
      </c>
      <c r="AR116" s="137">
        <f t="shared" si="41"/>
        <v>3.9626555610658941E-2</v>
      </c>
      <c r="AS116" s="1">
        <f t="shared" si="42"/>
        <v>5.9279999999999999E-2</v>
      </c>
      <c r="AT116" s="133">
        <f t="shared" si="56"/>
        <v>4.8906666666666668E-2</v>
      </c>
      <c r="AU116" s="132">
        <f t="shared" si="57"/>
        <v>4.0751243456895985</v>
      </c>
      <c r="AV116" s="1">
        <f t="shared" si="58"/>
        <v>90</v>
      </c>
      <c r="AW116" s="133">
        <f t="shared" si="59"/>
        <v>95.668223269400002</v>
      </c>
    </row>
    <row r="117" spans="17:49" x14ac:dyDescent="0.25">
      <c r="Q117">
        <v>110</v>
      </c>
      <c r="R117" s="132">
        <f t="shared" si="32"/>
        <v>18</v>
      </c>
      <c r="S117" s="1">
        <f t="shared" si="62"/>
        <v>5</v>
      </c>
      <c r="T117" s="1">
        <f t="shared" si="63"/>
        <v>12.233333333333334</v>
      </c>
      <c r="U117" s="133">
        <f t="shared" si="43"/>
        <v>7.3569482288828336</v>
      </c>
      <c r="V117" s="132">
        <f>IF(Calculations!$B$17=3,2,IF((S117*R117/T117)&lt;((T117*(1-(T117/R117)))/(2*Lm*fsw)),1,2))</f>
        <v>2</v>
      </c>
      <c r="W117" s="1">
        <f t="shared" si="44"/>
        <v>0.32037037037037031</v>
      </c>
      <c r="X117" s="133">
        <f t="shared" si="35"/>
        <v>0.67962962962962969</v>
      </c>
      <c r="Y117" s="132">
        <f t="shared" si="36"/>
        <v>1.5676790123456787</v>
      </c>
      <c r="Z117" s="1">
        <f t="shared" si="45"/>
        <v>8.1407877350556728</v>
      </c>
      <c r="AA117" s="1">
        <f t="shared" si="46"/>
        <v>7.3708540006981567</v>
      </c>
      <c r="AB117" s="1">
        <v>0</v>
      </c>
      <c r="AC117" s="1">
        <f t="shared" si="47"/>
        <v>0.89643656354353241</v>
      </c>
      <c r="AD117" s="133">
        <f t="shared" si="48"/>
        <v>0.89643656354353241</v>
      </c>
      <c r="AE117" s="132">
        <f t="shared" si="60"/>
        <v>2.3569482288828332</v>
      </c>
      <c r="AF117" s="1">
        <f t="shared" si="49"/>
        <v>4.1719969339305925</v>
      </c>
      <c r="AG117" s="1">
        <f t="shared" si="37"/>
        <v>0.34811116833452532</v>
      </c>
      <c r="AH117" s="1">
        <f t="shared" si="50"/>
        <v>0.41992150714677645</v>
      </c>
      <c r="AI117" s="133">
        <f t="shared" si="51"/>
        <v>0.76803267548130183</v>
      </c>
      <c r="AJ117" s="132">
        <f t="shared" si="52"/>
        <v>5</v>
      </c>
      <c r="AK117" s="1">
        <f t="shared" si="53"/>
        <v>6.0765064208706097</v>
      </c>
      <c r="AL117" s="1">
        <f t="shared" si="38"/>
        <v>0.73847860565763501</v>
      </c>
      <c r="AM117" s="1">
        <f t="shared" si="54"/>
        <v>0.15427500000000002</v>
      </c>
      <c r="AN117" s="136">
        <f t="shared" si="61"/>
        <v>0.11397102829077942</v>
      </c>
      <c r="AO117" s="133">
        <f t="shared" si="55"/>
        <v>1.0067246339484144</v>
      </c>
      <c r="AP117" s="132">
        <f t="shared" si="39"/>
        <v>0.35585815098243251</v>
      </c>
      <c r="AQ117" s="137">
        <f t="shared" si="40"/>
        <v>0.89643656354353241</v>
      </c>
      <c r="AR117" s="137">
        <f t="shared" si="41"/>
        <v>3.9570875181852025E-2</v>
      </c>
      <c r="AS117" s="1">
        <f t="shared" si="42"/>
        <v>5.9279999999999999E-2</v>
      </c>
      <c r="AT117" s="133">
        <f t="shared" si="56"/>
        <v>4.8933333333333336E-2</v>
      </c>
      <c r="AU117" s="132">
        <f t="shared" si="57"/>
        <v>4.0712727960143988</v>
      </c>
      <c r="AV117" s="1">
        <f t="shared" si="58"/>
        <v>90</v>
      </c>
      <c r="AW117" s="133">
        <f t="shared" si="59"/>
        <v>95.672140202841078</v>
      </c>
    </row>
    <row r="118" spans="17:49" x14ac:dyDescent="0.25">
      <c r="Q118">
        <v>111</v>
      </c>
      <c r="R118" s="132">
        <f t="shared" si="32"/>
        <v>18</v>
      </c>
      <c r="S118" s="1">
        <f t="shared" si="62"/>
        <v>5</v>
      </c>
      <c r="T118" s="1">
        <f t="shared" si="63"/>
        <v>12.24</v>
      </c>
      <c r="U118" s="133">
        <f t="shared" si="43"/>
        <v>7.3529411764705879</v>
      </c>
      <c r="V118" s="132">
        <f>IF(Calculations!$B$17=3,2,IF((S118*R118/T118)&lt;((T118*(1-(T118/R118)))/(2*Lm*fsw)),1,2))</f>
        <v>2</v>
      </c>
      <c r="W118" s="1">
        <f t="shared" si="44"/>
        <v>0.31999999999999995</v>
      </c>
      <c r="X118" s="133">
        <f t="shared" si="35"/>
        <v>0.68</v>
      </c>
      <c r="Y118" s="132">
        <f t="shared" si="36"/>
        <v>1.5667199999999997</v>
      </c>
      <c r="Z118" s="1">
        <f t="shared" si="45"/>
        <v>8.136301176470587</v>
      </c>
      <c r="AA118" s="1">
        <f t="shared" si="46"/>
        <v>7.366837510617203</v>
      </c>
      <c r="AB118" s="1">
        <v>0</v>
      </c>
      <c r="AC118" s="1">
        <f t="shared" si="47"/>
        <v>0.89545986597930516</v>
      </c>
      <c r="AD118" s="133">
        <f t="shared" si="48"/>
        <v>0.89545986597930516</v>
      </c>
      <c r="AE118" s="132">
        <f t="shared" si="60"/>
        <v>2.3529411764705879</v>
      </c>
      <c r="AF118" s="1">
        <f t="shared" si="49"/>
        <v>4.1673126077254787</v>
      </c>
      <c r="AG118" s="1">
        <f t="shared" si="37"/>
        <v>0.34732988741015464</v>
      </c>
      <c r="AH118" s="1">
        <f t="shared" si="50"/>
        <v>0.41969279172894053</v>
      </c>
      <c r="AI118" s="133">
        <f t="shared" si="51"/>
        <v>0.76702267913909516</v>
      </c>
      <c r="AJ118" s="132">
        <f t="shared" si="52"/>
        <v>5</v>
      </c>
      <c r="AK118" s="1">
        <f t="shared" si="53"/>
        <v>6.074849836607398</v>
      </c>
      <c r="AL118" s="1">
        <f t="shared" si="38"/>
        <v>0.73807601074657858</v>
      </c>
      <c r="AM118" s="1">
        <f t="shared" si="54"/>
        <v>0.15427500000000002</v>
      </c>
      <c r="AN118" s="136">
        <f t="shared" si="61"/>
        <v>0.11390821647058823</v>
      </c>
      <c r="AO118" s="133">
        <f t="shared" si="55"/>
        <v>1.0062592272171669</v>
      </c>
      <c r="AP118" s="132">
        <f t="shared" si="39"/>
        <v>0.35547043164633019</v>
      </c>
      <c r="AQ118" s="137">
        <f t="shared" si="40"/>
        <v>0.89545986597930516</v>
      </c>
      <c r="AR118" s="137">
        <f t="shared" si="41"/>
        <v>3.9515124274494481E-2</v>
      </c>
      <c r="AS118" s="1">
        <f t="shared" si="42"/>
        <v>5.9279999999999999E-2</v>
      </c>
      <c r="AT118" s="133">
        <f t="shared" si="56"/>
        <v>4.8960000000000004E-2</v>
      </c>
      <c r="AU118" s="132">
        <f t="shared" si="57"/>
        <v>4.0674271942356972</v>
      </c>
      <c r="AV118" s="1">
        <f t="shared" si="58"/>
        <v>90</v>
      </c>
      <c r="AW118" s="133">
        <f t="shared" si="59"/>
        <v>95.67605140742603</v>
      </c>
    </row>
    <row r="119" spans="17:49" x14ac:dyDescent="0.25">
      <c r="Q119">
        <v>112</v>
      </c>
      <c r="R119" s="132">
        <f t="shared" si="32"/>
        <v>18</v>
      </c>
      <c r="S119" s="1">
        <f t="shared" si="62"/>
        <v>5</v>
      </c>
      <c r="T119" s="1">
        <f t="shared" si="63"/>
        <v>12.246666666666666</v>
      </c>
      <c r="U119" s="133">
        <f t="shared" si="43"/>
        <v>7.3489384866630383</v>
      </c>
      <c r="V119" s="132">
        <f>IF(Calculations!$B$17=3,2,IF((S119*R119/T119)&lt;((T119*(1-(T119/R119)))/(2*Lm*fsw)),1,2))</f>
        <v>2</v>
      </c>
      <c r="W119" s="1">
        <f t="shared" si="44"/>
        <v>0.31962962962962971</v>
      </c>
      <c r="X119" s="133">
        <f t="shared" si="35"/>
        <v>0.68037037037037029</v>
      </c>
      <c r="Y119" s="132">
        <f t="shared" si="36"/>
        <v>1.5657590123456795</v>
      </c>
      <c r="Z119" s="1">
        <f t="shared" si="45"/>
        <v>8.1318179928358774</v>
      </c>
      <c r="AA119" s="1">
        <f t="shared" si="46"/>
        <v>7.3628253400321153</v>
      </c>
      <c r="AB119" s="1">
        <v>0</v>
      </c>
      <c r="AC119" s="1">
        <f t="shared" si="47"/>
        <v>0.8944847502990142</v>
      </c>
      <c r="AD119" s="133">
        <f t="shared" si="48"/>
        <v>0.8944847502990142</v>
      </c>
      <c r="AE119" s="132">
        <f t="shared" si="60"/>
        <v>2.3489384866630383</v>
      </c>
      <c r="AF119" s="1">
        <f t="shared" si="49"/>
        <v>4.1626319576675872</v>
      </c>
      <c r="AG119" s="1">
        <f t="shared" si="37"/>
        <v>0.34655009629990979</v>
      </c>
      <c r="AH119" s="1">
        <f t="shared" si="50"/>
        <v>0.41946432532081385</v>
      </c>
      <c r="AI119" s="133">
        <f t="shared" si="51"/>
        <v>0.76601442162072364</v>
      </c>
      <c r="AJ119" s="132">
        <f t="shared" si="52"/>
        <v>5</v>
      </c>
      <c r="AK119" s="1">
        <f t="shared" si="53"/>
        <v>6.0731945607582452</v>
      </c>
      <c r="AL119" s="1">
        <f t="shared" si="38"/>
        <v>0.7376738434564708</v>
      </c>
      <c r="AM119" s="1">
        <f t="shared" si="54"/>
        <v>0.15427500000000002</v>
      </c>
      <c r="AN119" s="136">
        <f t="shared" si="61"/>
        <v>0.11384545189970229</v>
      </c>
      <c r="AO119" s="133">
        <f t="shared" si="55"/>
        <v>1.0057942953561732</v>
      </c>
      <c r="AP119" s="132">
        <f t="shared" si="39"/>
        <v>0.35508334027021465</v>
      </c>
      <c r="AQ119" s="137">
        <f t="shared" si="40"/>
        <v>0.8944847502990142</v>
      </c>
      <c r="AR119" s="137">
        <f t="shared" si="41"/>
        <v>3.9459303155202206E-2</v>
      </c>
      <c r="AS119" s="1">
        <f t="shared" si="42"/>
        <v>5.9279999999999999E-2</v>
      </c>
      <c r="AT119" s="133">
        <f t="shared" si="56"/>
        <v>4.8986666666666664E-2</v>
      </c>
      <c r="AU119" s="132">
        <f t="shared" si="57"/>
        <v>4.0635875276670088</v>
      </c>
      <c r="AV119" s="1">
        <f t="shared" si="58"/>
        <v>90</v>
      </c>
      <c r="AW119" s="133">
        <f t="shared" si="59"/>
        <v>95.679956894614733</v>
      </c>
    </row>
    <row r="120" spans="17:49" x14ac:dyDescent="0.25">
      <c r="Q120">
        <v>113</v>
      </c>
      <c r="R120" s="132">
        <f t="shared" si="32"/>
        <v>18</v>
      </c>
      <c r="S120" s="1">
        <f t="shared" si="62"/>
        <v>5</v>
      </c>
      <c r="T120" s="1">
        <f t="shared" si="63"/>
        <v>12.253333333333334</v>
      </c>
      <c r="U120" s="133">
        <f t="shared" si="43"/>
        <v>7.3449401523394995</v>
      </c>
      <c r="V120" s="132">
        <f>IF(Calculations!$B$17=3,2,IF((S120*R120/T120)&lt;((T120*(1-(T120/R120)))/(2*Lm*fsw)),1,2))</f>
        <v>2</v>
      </c>
      <c r="W120" s="1">
        <f t="shared" si="44"/>
        <v>0.31925925925925924</v>
      </c>
      <c r="X120" s="133">
        <f t="shared" si="35"/>
        <v>0.68074074074074076</v>
      </c>
      <c r="Y120" s="132">
        <f t="shared" si="36"/>
        <v>1.564796049382716</v>
      </c>
      <c r="Z120" s="1">
        <f t="shared" si="45"/>
        <v>8.1273381770308575</v>
      </c>
      <c r="AA120" s="1">
        <f t="shared" si="46"/>
        <v>7.3588174818464758</v>
      </c>
      <c r="AB120" s="1">
        <v>0</v>
      </c>
      <c r="AC120" s="1">
        <f t="shared" si="47"/>
        <v>0.89351121306363357</v>
      </c>
      <c r="AD120" s="133">
        <f t="shared" si="48"/>
        <v>0.89351121306363357</v>
      </c>
      <c r="AE120" s="132">
        <f t="shared" si="60"/>
        <v>2.3449401523394995</v>
      </c>
      <c r="AF120" s="1">
        <f t="shared" si="49"/>
        <v>4.1579549753603029</v>
      </c>
      <c r="AG120" s="1">
        <f t="shared" si="37"/>
        <v>0.3457717915424699</v>
      </c>
      <c r="AH120" s="1">
        <f t="shared" si="50"/>
        <v>0.41923610751596019</v>
      </c>
      <c r="AI120" s="133">
        <f t="shared" si="51"/>
        <v>0.76500789905843014</v>
      </c>
      <c r="AJ120" s="132">
        <f t="shared" si="52"/>
        <v>5</v>
      </c>
      <c r="AK120" s="1">
        <f t="shared" si="53"/>
        <v>6.0715405914813578</v>
      </c>
      <c r="AL120" s="1">
        <f t="shared" si="38"/>
        <v>0.73727210308011593</v>
      </c>
      <c r="AM120" s="1">
        <f t="shared" si="54"/>
        <v>0.15427500000000002</v>
      </c>
      <c r="AN120" s="136">
        <f t="shared" si="61"/>
        <v>0.11378273447843201</v>
      </c>
      <c r="AO120" s="133">
        <f t="shared" si="55"/>
        <v>1.005329837558548</v>
      </c>
      <c r="AP120" s="132">
        <f t="shared" si="39"/>
        <v>0.35469687548889695</v>
      </c>
      <c r="AQ120" s="137">
        <f t="shared" si="40"/>
        <v>0.89351121306363357</v>
      </c>
      <c r="AR120" s="137">
        <f t="shared" si="41"/>
        <v>3.9403412091050985E-2</v>
      </c>
      <c r="AS120" s="1">
        <f t="shared" si="42"/>
        <v>5.9279999999999999E-2</v>
      </c>
      <c r="AT120" s="133">
        <f t="shared" si="56"/>
        <v>4.9013333333333339E-2</v>
      </c>
      <c r="AU120" s="132">
        <f t="shared" si="57"/>
        <v>4.059753783657527</v>
      </c>
      <c r="AV120" s="1">
        <f t="shared" si="58"/>
        <v>90</v>
      </c>
      <c r="AW120" s="133">
        <f t="shared" si="59"/>
        <v>95.683856675836964</v>
      </c>
    </row>
    <row r="121" spans="17:49" x14ac:dyDescent="0.25">
      <c r="Q121">
        <v>114</v>
      </c>
      <c r="R121" s="132">
        <f t="shared" si="32"/>
        <v>18</v>
      </c>
      <c r="S121" s="1">
        <f t="shared" si="62"/>
        <v>5</v>
      </c>
      <c r="T121" s="1">
        <f t="shared" si="63"/>
        <v>12.26</v>
      </c>
      <c r="U121" s="133">
        <f t="shared" si="43"/>
        <v>7.3409461663947795</v>
      </c>
      <c r="V121" s="132">
        <f>IF(Calculations!$B$17=3,2,IF((S121*R121/T121)&lt;((T121*(1-(T121/R121)))/(2*Lm*fsw)),1,2))</f>
        <v>2</v>
      </c>
      <c r="W121" s="1">
        <f t="shared" si="44"/>
        <v>0.31888888888888889</v>
      </c>
      <c r="X121" s="133">
        <f t="shared" si="35"/>
        <v>0.68111111111111111</v>
      </c>
      <c r="Y121" s="132">
        <f t="shared" si="36"/>
        <v>1.5638311111111112</v>
      </c>
      <c r="Z121" s="1">
        <f t="shared" si="45"/>
        <v>8.1228617219503345</v>
      </c>
      <c r="AA121" s="1">
        <f t="shared" si="46"/>
        <v>7.354813928979631</v>
      </c>
      <c r="AB121" s="1">
        <v>0</v>
      </c>
      <c r="AC121" s="1">
        <f t="shared" si="47"/>
        <v>0.89253925084356123</v>
      </c>
      <c r="AD121" s="133">
        <f t="shared" si="48"/>
        <v>0.89253925084356123</v>
      </c>
      <c r="AE121" s="132">
        <f t="shared" si="60"/>
        <v>2.3409461663947795</v>
      </c>
      <c r="AF121" s="1">
        <f t="shared" si="49"/>
        <v>4.153281652418559</v>
      </c>
      <c r="AG121" s="1">
        <f t="shared" si="37"/>
        <v>0.34499496968633275</v>
      </c>
      <c r="AH121" s="1">
        <f t="shared" si="50"/>
        <v>0.41900813790882813</v>
      </c>
      <c r="AI121" s="133">
        <f t="shared" si="51"/>
        <v>0.76400310759516088</v>
      </c>
      <c r="AJ121" s="132">
        <f t="shared" si="52"/>
        <v>5</v>
      </c>
      <c r="AK121" s="1">
        <f t="shared" si="53"/>
        <v>6.0698879269386969</v>
      </c>
      <c r="AL121" s="1">
        <f t="shared" si="38"/>
        <v>0.73687078891192304</v>
      </c>
      <c r="AM121" s="1">
        <f t="shared" si="54"/>
        <v>0.15427500000000002</v>
      </c>
      <c r="AN121" s="136">
        <f t="shared" si="61"/>
        <v>0.11372006410730469</v>
      </c>
      <c r="AO121" s="133">
        <f t="shared" si="55"/>
        <v>1.0048658530192278</v>
      </c>
      <c r="AP121" s="132">
        <f t="shared" si="39"/>
        <v>0.35431103594092878</v>
      </c>
      <c r="AQ121" s="137">
        <f t="shared" si="40"/>
        <v>0.89253925084356123</v>
      </c>
      <c r="AR121" s="137">
        <f t="shared" si="41"/>
        <v>3.9347451349576401E-2</v>
      </c>
      <c r="AS121" s="1">
        <f t="shared" si="42"/>
        <v>5.9279999999999999E-2</v>
      </c>
      <c r="AT121" s="133">
        <f t="shared" si="56"/>
        <v>4.904E-2</v>
      </c>
      <c r="AU121" s="132">
        <f t="shared" si="57"/>
        <v>4.0559259495920168</v>
      </c>
      <c r="AV121" s="1">
        <f t="shared" si="58"/>
        <v>90</v>
      </c>
      <c r="AW121" s="133">
        <f t="shared" si="59"/>
        <v>95.687750762492371</v>
      </c>
    </row>
    <row r="122" spans="17:49" x14ac:dyDescent="0.25">
      <c r="Q122">
        <v>115</v>
      </c>
      <c r="R122" s="132">
        <f t="shared" si="32"/>
        <v>18</v>
      </c>
      <c r="S122" s="1">
        <f t="shared" si="62"/>
        <v>5</v>
      </c>
      <c r="T122" s="1">
        <f t="shared" si="63"/>
        <v>12.266666666666667</v>
      </c>
      <c r="U122" s="133">
        <f t="shared" si="43"/>
        <v>7.3369565217391299</v>
      </c>
      <c r="V122" s="132">
        <f>IF(Calculations!$B$17=3,2,IF((S122*R122/T122)&lt;((T122*(1-(T122/R122)))/(2*Lm*fsw)),1,2))</f>
        <v>2</v>
      </c>
      <c r="W122" s="1">
        <f t="shared" si="44"/>
        <v>0.31851851851851842</v>
      </c>
      <c r="X122" s="133">
        <f t="shared" si="35"/>
        <v>0.68148148148148158</v>
      </c>
      <c r="Y122" s="132">
        <f t="shared" si="36"/>
        <v>1.5628641975308639</v>
      </c>
      <c r="Z122" s="1">
        <f t="shared" si="45"/>
        <v>8.118388620504561</v>
      </c>
      <c r="AA122" s="1">
        <f t="shared" si="46"/>
        <v>7.3508146743666449</v>
      </c>
      <c r="AB122" s="1">
        <v>0</v>
      </c>
      <c r="AC122" s="1">
        <f t="shared" si="47"/>
        <v>0.89156886021858606</v>
      </c>
      <c r="AD122" s="133">
        <f t="shared" si="48"/>
        <v>0.89156886021858606</v>
      </c>
      <c r="AE122" s="132">
        <f t="shared" si="60"/>
        <v>2.3369565217391295</v>
      </c>
      <c r="AF122" s="1">
        <f t="shared" si="49"/>
        <v>4.1486119804687647</v>
      </c>
      <c r="AG122" s="1">
        <f t="shared" si="37"/>
        <v>0.34421962728977934</v>
      </c>
      <c r="AH122" s="1">
        <f t="shared" si="50"/>
        <v>0.4187804160947472</v>
      </c>
      <c r="AI122" s="133">
        <f t="shared" si="51"/>
        <v>0.76300004338452654</v>
      </c>
      <c r="AJ122" s="132">
        <f t="shared" si="52"/>
        <v>5</v>
      </c>
      <c r="AK122" s="1">
        <f t="shared" si="53"/>
        <v>6.0682365652959689</v>
      </c>
      <c r="AL122" s="1">
        <f t="shared" si="38"/>
        <v>0.73646990024790027</v>
      </c>
      <c r="AM122" s="1">
        <f t="shared" si="54"/>
        <v>0.15427500000000002</v>
      </c>
      <c r="AN122" s="136">
        <f t="shared" si="61"/>
        <v>0.11365744068706386</v>
      </c>
      <c r="AO122" s="133">
        <f t="shared" si="55"/>
        <v>1.0044023409349643</v>
      </c>
      <c r="AP122" s="132">
        <f t="shared" si="39"/>
        <v>0.35392582026859015</v>
      </c>
      <c r="AQ122" s="137">
        <f t="shared" si="40"/>
        <v>0.89156886021858606</v>
      </c>
      <c r="AR122" s="137">
        <f t="shared" si="41"/>
        <v>3.9291421198772908E-2</v>
      </c>
      <c r="AS122" s="1">
        <f t="shared" si="42"/>
        <v>5.9279999999999999E-2</v>
      </c>
      <c r="AT122" s="133">
        <f t="shared" si="56"/>
        <v>4.9066666666666668E-2</v>
      </c>
      <c r="AU122" s="132">
        <f t="shared" si="57"/>
        <v>4.052104012890692</v>
      </c>
      <c r="AV122" s="1">
        <f t="shared" si="58"/>
        <v>90</v>
      </c>
      <c r="AW122" s="133">
        <f t="shared" si="59"/>
        <v>95.69163916595069</v>
      </c>
    </row>
    <row r="123" spans="17:49" x14ac:dyDescent="0.25">
      <c r="Q123">
        <v>116</v>
      </c>
      <c r="R123" s="132">
        <f t="shared" si="32"/>
        <v>18</v>
      </c>
      <c r="S123" s="1">
        <f t="shared" si="62"/>
        <v>5</v>
      </c>
      <c r="T123" s="1">
        <f t="shared" si="63"/>
        <v>12.273333333333333</v>
      </c>
      <c r="U123" s="133">
        <f t="shared" si="43"/>
        <v>7.3329712112982071</v>
      </c>
      <c r="V123" s="132">
        <f>IF(Calculations!$B$17=3,2,IF((S123*R123/T123)&lt;((T123*(1-(T123/R123)))/(2*Lm*fsw)),1,2))</f>
        <v>2</v>
      </c>
      <c r="W123" s="1">
        <f t="shared" si="44"/>
        <v>0.31814814814814818</v>
      </c>
      <c r="X123" s="133">
        <f t="shared" si="35"/>
        <v>0.68185185185185182</v>
      </c>
      <c r="Y123" s="132">
        <f t="shared" si="36"/>
        <v>1.5618953086419753</v>
      </c>
      <c r="Z123" s="1">
        <f t="shared" si="45"/>
        <v>8.1139188656191941</v>
      </c>
      <c r="AA123" s="1">
        <f t="shared" si="46"/>
        <v>7.3468197109582576</v>
      </c>
      <c r="AB123" s="1">
        <v>0</v>
      </c>
      <c r="AC123" s="1">
        <f t="shared" si="47"/>
        <v>0.89060003777785879</v>
      </c>
      <c r="AD123" s="133">
        <f t="shared" si="48"/>
        <v>0.89060003777785879</v>
      </c>
      <c r="AE123" s="132">
        <f t="shared" si="60"/>
        <v>2.3329712112982075</v>
      </c>
      <c r="AF123" s="1">
        <f t="shared" si="49"/>
        <v>4.1439459511487611</v>
      </c>
      <c r="AG123" s="1">
        <f t="shared" si="37"/>
        <v>0.34344576092084422</v>
      </c>
      <c r="AH123" s="1">
        <f t="shared" si="50"/>
        <v>0.41855294166992663</v>
      </c>
      <c r="AI123" s="133">
        <f t="shared" si="51"/>
        <v>0.76199870259077085</v>
      </c>
      <c r="AJ123" s="132">
        <f t="shared" si="52"/>
        <v>4.9999999999999991</v>
      </c>
      <c r="AK123" s="1">
        <f t="shared" si="53"/>
        <v>6.0665865047226148</v>
      </c>
      <c r="AL123" s="1">
        <f t="shared" si="38"/>
        <v>0.73606943638565114</v>
      </c>
      <c r="AM123" s="1">
        <f t="shared" si="54"/>
        <v>0.15427500000000002</v>
      </c>
      <c r="AN123" s="136">
        <f t="shared" si="61"/>
        <v>0.11359486411866872</v>
      </c>
      <c r="AO123" s="133">
        <f t="shared" si="55"/>
        <v>1.00393930050432</v>
      </c>
      <c r="AP123" s="132">
        <f t="shared" si="39"/>
        <v>0.35354122711787722</v>
      </c>
      <c r="AQ123" s="137">
        <f t="shared" si="40"/>
        <v>0.89060003777785879</v>
      </c>
      <c r="AR123" s="137">
        <f t="shared" si="41"/>
        <v>3.9235321907093119E-2</v>
      </c>
      <c r="AS123" s="1">
        <f t="shared" si="42"/>
        <v>5.9279999999999999E-2</v>
      </c>
      <c r="AT123" s="133">
        <f t="shared" si="56"/>
        <v>4.9093333333333336E-2</v>
      </c>
      <c r="AU123" s="132">
        <f t="shared" si="57"/>
        <v>4.0482879610091125</v>
      </c>
      <c r="AV123" s="1">
        <f t="shared" si="58"/>
        <v>90</v>
      </c>
      <c r="AW123" s="133">
        <f t="shared" si="59"/>
        <v>95.695521897551743</v>
      </c>
    </row>
    <row r="124" spans="17:49" x14ac:dyDescent="0.25">
      <c r="Q124">
        <v>117</v>
      </c>
      <c r="R124" s="132">
        <f t="shared" si="32"/>
        <v>18</v>
      </c>
      <c r="S124" s="1">
        <f t="shared" si="62"/>
        <v>5</v>
      </c>
      <c r="T124" s="1">
        <f t="shared" si="63"/>
        <v>12.28</v>
      </c>
      <c r="U124" s="133">
        <f t="shared" si="43"/>
        <v>7.3289902280130299</v>
      </c>
      <c r="V124" s="132">
        <f>IF(Calculations!$B$17=3,2,IF((S124*R124/T124)&lt;((T124*(1-(T124/R124)))/(2*Lm*fsw)),1,2))</f>
        <v>2</v>
      </c>
      <c r="W124" s="1">
        <f t="shared" si="44"/>
        <v>0.31777777777777783</v>
      </c>
      <c r="X124" s="133">
        <f t="shared" si="35"/>
        <v>0.68222222222222217</v>
      </c>
      <c r="Y124" s="132">
        <f t="shared" si="36"/>
        <v>1.5609244444444446</v>
      </c>
      <c r="Z124" s="1">
        <f t="shared" si="45"/>
        <v>8.1094524502352527</v>
      </c>
      <c r="AA124" s="1">
        <f t="shared" si="46"/>
        <v>7.3428290317208464</v>
      </c>
      <c r="AB124" s="1">
        <v>0</v>
      </c>
      <c r="AC124" s="1">
        <f t="shared" si="47"/>
        <v>0.88963278011986124</v>
      </c>
      <c r="AD124" s="133">
        <f t="shared" si="48"/>
        <v>0.88963278011986124</v>
      </c>
      <c r="AE124" s="132">
        <f t="shared" si="60"/>
        <v>2.3289902280130299</v>
      </c>
      <c r="AF124" s="1">
        <f t="shared" si="49"/>
        <v>4.1392835561077472</v>
      </c>
      <c r="AG124" s="1">
        <f t="shared" si="37"/>
        <v>0.34267336715727992</v>
      </c>
      <c r="AH124" s="1">
        <f t="shared" si="50"/>
        <v>0.41832571423145221</v>
      </c>
      <c r="AI124" s="133">
        <f t="shared" si="51"/>
        <v>0.76099908138873218</v>
      </c>
      <c r="AJ124" s="132">
        <f t="shared" si="52"/>
        <v>5</v>
      </c>
      <c r="AK124" s="1">
        <f t="shared" si="53"/>
        <v>6.0649377433918072</v>
      </c>
      <c r="AL124" s="1">
        <f t="shared" si="38"/>
        <v>0.73566939662437014</v>
      </c>
      <c r="AM124" s="1">
        <f t="shared" si="54"/>
        <v>0.15427500000000002</v>
      </c>
      <c r="AN124" s="136">
        <f t="shared" si="61"/>
        <v>0.11353233430329354</v>
      </c>
      <c r="AO124" s="133">
        <f t="shared" si="55"/>
        <v>1.0034767309276638</v>
      </c>
      <c r="AP124" s="132">
        <f t="shared" si="39"/>
        <v>0.35315725513849033</v>
      </c>
      <c r="AQ124" s="137">
        <f t="shared" si="40"/>
        <v>0.88963278011986124</v>
      </c>
      <c r="AR124" s="137">
        <f t="shared" si="41"/>
        <v>3.9179153743447222E-2</v>
      </c>
      <c r="AS124" s="1">
        <f t="shared" si="42"/>
        <v>5.9279999999999999E-2</v>
      </c>
      <c r="AT124" s="133">
        <f t="shared" si="56"/>
        <v>4.9119999999999997E-2</v>
      </c>
      <c r="AU124" s="132">
        <f t="shared" si="57"/>
        <v>4.0444777814380561</v>
      </c>
      <c r="AV124" s="1">
        <f t="shared" si="58"/>
        <v>90</v>
      </c>
      <c r="AW124" s="133">
        <f t="shared" si="59"/>
        <v>95.699398968605536</v>
      </c>
    </row>
    <row r="125" spans="17:49" x14ac:dyDescent="0.25">
      <c r="Q125">
        <v>118</v>
      </c>
      <c r="R125" s="132">
        <f t="shared" si="32"/>
        <v>18</v>
      </c>
      <c r="S125" s="1">
        <f t="shared" si="62"/>
        <v>5</v>
      </c>
      <c r="T125" s="1">
        <f t="shared" si="63"/>
        <v>12.286666666666667</v>
      </c>
      <c r="U125" s="133">
        <f t="shared" si="43"/>
        <v>7.325013564839935</v>
      </c>
      <c r="V125" s="132">
        <f>IF(Calculations!$B$17=3,2,IF((S125*R125/T125)&lt;((T125*(1-(T125/R125)))/(2*Lm*fsw)),1,2))</f>
        <v>2</v>
      </c>
      <c r="W125" s="1">
        <f t="shared" si="44"/>
        <v>0.31740740740740736</v>
      </c>
      <c r="X125" s="133">
        <f t="shared" si="35"/>
        <v>0.68259259259259264</v>
      </c>
      <c r="Y125" s="132">
        <f t="shared" si="36"/>
        <v>1.5599516049382713</v>
      </c>
      <c r="Z125" s="1">
        <f t="shared" si="45"/>
        <v>8.10498936730907</v>
      </c>
      <c r="AA125" s="1">
        <f t="shared" si="46"/>
        <v>7.3388426296363773</v>
      </c>
      <c r="AB125" s="1">
        <v>0</v>
      </c>
      <c r="AC125" s="1">
        <f t="shared" si="47"/>
        <v>0.88866708385237503</v>
      </c>
      <c r="AD125" s="133">
        <f t="shared" si="48"/>
        <v>0.88866708385237503</v>
      </c>
      <c r="AE125" s="132">
        <f t="shared" si="60"/>
        <v>2.3250135648399346</v>
      </c>
      <c r="AF125" s="1">
        <f t="shared" si="49"/>
        <v>4.1346247870062243</v>
      </c>
      <c r="AG125" s="1">
        <f t="shared" si="37"/>
        <v>0.34190244258652536</v>
      </c>
      <c r="AH125" s="1">
        <f t="shared" si="50"/>
        <v>0.41809873337728426</v>
      </c>
      <c r="AI125" s="133">
        <f t="shared" si="51"/>
        <v>0.76000117596380967</v>
      </c>
      <c r="AJ125" s="132">
        <f t="shared" si="52"/>
        <v>5.0000000000000009</v>
      </c>
      <c r="AK125" s="1">
        <f t="shared" si="53"/>
        <v>6.0632902794804329</v>
      </c>
      <c r="AL125" s="1">
        <f t="shared" si="38"/>
        <v>0.73526978026483814</v>
      </c>
      <c r="AM125" s="1">
        <f t="shared" si="54"/>
        <v>0.15427500000000002</v>
      </c>
      <c r="AN125" s="136">
        <f t="shared" si="61"/>
        <v>0.11346985114232698</v>
      </c>
      <c r="AO125" s="133">
        <f t="shared" si="55"/>
        <v>1.0030146314071651</v>
      </c>
      <c r="AP125" s="132">
        <f t="shared" si="39"/>
        <v>0.35277390298382155</v>
      </c>
      <c r="AQ125" s="137">
        <f t="shared" si="40"/>
        <v>0.88866708385237503</v>
      </c>
      <c r="AR125" s="137">
        <f t="shared" si="41"/>
        <v>3.9122916977202687E-2</v>
      </c>
      <c r="AS125" s="1">
        <f t="shared" si="42"/>
        <v>5.9279999999999999E-2</v>
      </c>
      <c r="AT125" s="133">
        <f t="shared" si="56"/>
        <v>4.9146666666666672E-2</v>
      </c>
      <c r="AU125" s="132">
        <f t="shared" si="57"/>
        <v>4.0406734617034159</v>
      </c>
      <c r="AV125" s="1">
        <f t="shared" si="58"/>
        <v>90</v>
      </c>
      <c r="AW125" s="133">
        <f t="shared" si="59"/>
        <v>95.703270390392376</v>
      </c>
    </row>
    <row r="126" spans="17:49" x14ac:dyDescent="0.25">
      <c r="Q126">
        <v>119</v>
      </c>
      <c r="R126" s="132">
        <f t="shared" si="32"/>
        <v>18</v>
      </c>
      <c r="S126" s="1">
        <f t="shared" si="62"/>
        <v>5</v>
      </c>
      <c r="T126" s="1">
        <f t="shared" si="63"/>
        <v>12.293333333333333</v>
      </c>
      <c r="U126" s="133">
        <f t="shared" si="43"/>
        <v>7.3210412147505428</v>
      </c>
      <c r="V126" s="132">
        <f>IF(Calculations!$B$17=3,2,IF((S126*R126/T126)&lt;((T126*(1-(T126/R126)))/(2*Lm*fsw)),1,2))</f>
        <v>2</v>
      </c>
      <c r="W126" s="1">
        <f t="shared" si="44"/>
        <v>0.31703703703703701</v>
      </c>
      <c r="X126" s="133">
        <f t="shared" si="35"/>
        <v>0.68296296296296299</v>
      </c>
      <c r="Y126" s="132">
        <f t="shared" si="36"/>
        <v>1.5589767901234566</v>
      </c>
      <c r="Z126" s="1">
        <f t="shared" si="45"/>
        <v>8.1005296098122717</v>
      </c>
      <c r="AA126" s="1">
        <f t="shared" si="46"/>
        <v>7.3348604977023752</v>
      </c>
      <c r="AB126" s="1">
        <v>0</v>
      </c>
      <c r="AC126" s="1">
        <f t="shared" si="47"/>
        <v>0.88770294559245311</v>
      </c>
      <c r="AD126" s="133">
        <f t="shared" si="48"/>
        <v>0.88770294559245311</v>
      </c>
      <c r="AE126" s="132">
        <f t="shared" si="60"/>
        <v>2.3210412147505424</v>
      </c>
      <c r="AF126" s="1">
        <f t="shared" si="49"/>
        <v>4.1299696355159474</v>
      </c>
      <c r="AG126" s="1">
        <f t="shared" si="37"/>
        <v>0.34113298380567458</v>
      </c>
      <c r="AH126" s="1">
        <f t="shared" si="50"/>
        <v>0.41787199870625541</v>
      </c>
      <c r="AI126" s="133">
        <f t="shared" si="51"/>
        <v>0.75900498251193005</v>
      </c>
      <c r="AJ126" s="132">
        <f t="shared" si="52"/>
        <v>5.0000000000000009</v>
      </c>
      <c r="AK126" s="1">
        <f t="shared" si="53"/>
        <v>6.0616441111690991</v>
      </c>
      <c r="AL126" s="1">
        <f t="shared" si="38"/>
        <v>0.7348705866094204</v>
      </c>
      <c r="AM126" s="1">
        <f t="shared" si="54"/>
        <v>0.15427500000000002</v>
      </c>
      <c r="AN126" s="136">
        <f t="shared" si="61"/>
        <v>0.11340741453737181</v>
      </c>
      <c r="AO126" s="133">
        <f t="shared" si="55"/>
        <v>1.0025530011467922</v>
      </c>
      <c r="AP126" s="132">
        <f t="shared" si="39"/>
        <v>0.3523911693109435</v>
      </c>
      <c r="AQ126" s="137">
        <f t="shared" si="40"/>
        <v>0.88770294559245311</v>
      </c>
      <c r="AR126" s="137">
        <f t="shared" si="41"/>
        <v>3.9066611878183215E-2</v>
      </c>
      <c r="AS126" s="1">
        <f t="shared" si="42"/>
        <v>5.9279999999999999E-2</v>
      </c>
      <c r="AT126" s="133">
        <f t="shared" si="56"/>
        <v>4.9173333333333333E-2</v>
      </c>
      <c r="AU126" s="132">
        <f t="shared" si="57"/>
        <v>4.0368749893660887</v>
      </c>
      <c r="AV126" s="1">
        <f t="shared" si="58"/>
        <v>90</v>
      </c>
      <c r="AW126" s="133">
        <f t="shared" si="59"/>
        <v>95.707136174162983</v>
      </c>
    </row>
    <row r="127" spans="17:49" x14ac:dyDescent="0.25">
      <c r="Q127">
        <v>120</v>
      </c>
      <c r="R127" s="132">
        <f t="shared" si="32"/>
        <v>18</v>
      </c>
      <c r="S127" s="1">
        <f t="shared" si="62"/>
        <v>5</v>
      </c>
      <c r="T127" s="1">
        <f t="shared" si="63"/>
        <v>12.3</v>
      </c>
      <c r="U127" s="133">
        <f t="shared" si="43"/>
        <v>7.3170731707317067</v>
      </c>
      <c r="V127" s="132">
        <f>IF(Calculations!$B$17=3,2,IF((S127*R127/T127)&lt;((T127*(1-(T127/R127)))/(2*Lm*fsw)),1,2))</f>
        <v>2</v>
      </c>
      <c r="W127" s="1">
        <f t="shared" si="44"/>
        <v>0.31666666666666665</v>
      </c>
      <c r="X127" s="133">
        <f t="shared" si="35"/>
        <v>0.68333333333333335</v>
      </c>
      <c r="Y127" s="132">
        <f t="shared" si="36"/>
        <v>1.5580000000000001</v>
      </c>
      <c r="Z127" s="1">
        <f t="shared" si="45"/>
        <v>8.0960731707317066</v>
      </c>
      <c r="AA127" s="1">
        <f t="shared" si="46"/>
        <v>7.3308826289318727</v>
      </c>
      <c r="AB127" s="1">
        <v>0</v>
      </c>
      <c r="AC127" s="1">
        <f t="shared" si="47"/>
        <v>0.88674036196638895</v>
      </c>
      <c r="AD127" s="133">
        <f t="shared" si="48"/>
        <v>0.88674036196638895</v>
      </c>
      <c r="AE127" s="132">
        <f t="shared" si="60"/>
        <v>2.3170731707317072</v>
      </c>
      <c r="AF127" s="1">
        <f t="shared" si="49"/>
        <v>4.1253180933198488</v>
      </c>
      <c r="AG127" s="1">
        <f t="shared" si="37"/>
        <v>0.34036498742144228</v>
      </c>
      <c r="AH127" s="1">
        <f t="shared" si="50"/>
        <v>0.41764550981806764</v>
      </c>
      <c r="AI127" s="133">
        <f t="shared" si="51"/>
        <v>0.75801049723950986</v>
      </c>
      <c r="AJ127" s="132">
        <f t="shared" si="52"/>
        <v>5</v>
      </c>
      <c r="AK127" s="1">
        <f t="shared" si="53"/>
        <v>6.0599992366421125</v>
      </c>
      <c r="AL127" s="1">
        <f t="shared" si="38"/>
        <v>0.73447181496205971</v>
      </c>
      <c r="AM127" s="1">
        <f t="shared" si="54"/>
        <v>0.15427500000000002</v>
      </c>
      <c r="AN127" s="136">
        <f t="shared" si="61"/>
        <v>0.1133450243902439</v>
      </c>
      <c r="AO127" s="133">
        <f t="shared" si="55"/>
        <v>1.0020918393523037</v>
      </c>
      <c r="AP127" s="132">
        <f t="shared" si="39"/>
        <v>0.3520090527805968</v>
      </c>
      <c r="AQ127" s="137">
        <f t="shared" si="40"/>
        <v>0.88674036196638895</v>
      </c>
      <c r="AR127" s="137">
        <f t="shared" si="41"/>
        <v>3.9010238716668658E-2</v>
      </c>
      <c r="AS127" s="1">
        <f t="shared" si="42"/>
        <v>5.9279999999999999E-2</v>
      </c>
      <c r="AT127" s="133">
        <f t="shared" si="56"/>
        <v>4.9200000000000001E-2</v>
      </c>
      <c r="AU127" s="132">
        <f t="shared" si="57"/>
        <v>4.0330823520218573</v>
      </c>
      <c r="AV127" s="1">
        <f t="shared" si="58"/>
        <v>90</v>
      </c>
      <c r="AW127" s="133">
        <f t="shared" si="59"/>
        <v>95.710996331138404</v>
      </c>
    </row>
    <row r="128" spans="17:49" x14ac:dyDescent="0.25">
      <c r="Q128">
        <v>121</v>
      </c>
      <c r="R128" s="132">
        <f t="shared" si="32"/>
        <v>18</v>
      </c>
      <c r="S128" s="1">
        <f t="shared" si="62"/>
        <v>5</v>
      </c>
      <c r="T128" s="1">
        <f t="shared" si="63"/>
        <v>12.306666666666667</v>
      </c>
      <c r="U128" s="133">
        <f t="shared" si="43"/>
        <v>7.3131094257854823</v>
      </c>
      <c r="V128" s="132">
        <f>IF(Calculations!$B$17=3,2,IF((S128*R128/T128)&lt;((T128*(1-(T128/R128)))/(2*Lm*fsw)),1,2))</f>
        <v>2</v>
      </c>
      <c r="W128" s="1">
        <f t="shared" si="44"/>
        <v>0.3162962962962963</v>
      </c>
      <c r="X128" s="133">
        <f t="shared" si="35"/>
        <v>0.6837037037037037</v>
      </c>
      <c r="Y128" s="132">
        <f t="shared" si="36"/>
        <v>1.5570212345679013</v>
      </c>
      <c r="Z128" s="1">
        <f t="shared" si="45"/>
        <v>8.0916200430694332</v>
      </c>
      <c r="AA128" s="1">
        <f t="shared" si="46"/>
        <v>7.326909016353377</v>
      </c>
      <c r="AB128" s="1">
        <v>0</v>
      </c>
      <c r="AC128" s="1">
        <f t="shared" si="47"/>
        <v>0.88577932960968686</v>
      </c>
      <c r="AD128" s="133">
        <f t="shared" si="48"/>
        <v>0.88577932960968686</v>
      </c>
      <c r="AE128" s="132">
        <f t="shared" si="60"/>
        <v>2.3131094257854823</v>
      </c>
      <c r="AF128" s="1">
        <f t="shared" si="49"/>
        <v>4.1206701521119937</v>
      </c>
      <c r="AG128" s="1">
        <f t="shared" si="37"/>
        <v>0.33959845005013362</v>
      </c>
      <c r="AH128" s="1">
        <f t="shared" si="50"/>
        <v>0.4174192663132909</v>
      </c>
      <c r="AI128" s="133">
        <f t="shared" si="51"/>
        <v>0.75701771636342452</v>
      </c>
      <c r="AJ128" s="132">
        <f t="shared" si="52"/>
        <v>5</v>
      </c>
      <c r="AK128" s="1">
        <f t="shared" si="53"/>
        <v>6.0583556540874808</v>
      </c>
      <c r="AL128" s="1">
        <f t="shared" si="38"/>
        <v>0.73407346462827494</v>
      </c>
      <c r="AM128" s="1">
        <f t="shared" si="54"/>
        <v>0.15427500000000002</v>
      </c>
      <c r="AN128" s="136">
        <f t="shared" si="61"/>
        <v>0.11328268060297207</v>
      </c>
      <c r="AO128" s="133">
        <f t="shared" si="55"/>
        <v>1.001631145231247</v>
      </c>
      <c r="AP128" s="132">
        <f t="shared" si="39"/>
        <v>0.35162755205717866</v>
      </c>
      <c r="AQ128" s="137">
        <f t="shared" si="40"/>
        <v>0.88577932960968686</v>
      </c>
      <c r="AR128" s="137">
        <f t="shared" si="41"/>
        <v>3.8953797763393722E-2</v>
      </c>
      <c r="AS128" s="1">
        <f t="shared" si="42"/>
        <v>5.9279999999999999E-2</v>
      </c>
      <c r="AT128" s="133">
        <f t="shared" si="56"/>
        <v>4.9226666666666669E-2</v>
      </c>
      <c r="AU128" s="132">
        <f t="shared" si="57"/>
        <v>4.0292955373012846</v>
      </c>
      <c r="AV128" s="1">
        <f t="shared" si="58"/>
        <v>90</v>
      </c>
      <c r="AW128" s="133">
        <f t="shared" si="59"/>
        <v>95.714850872510411</v>
      </c>
    </row>
    <row r="129" spans="17:49" x14ac:dyDescent="0.25">
      <c r="Q129">
        <v>122</v>
      </c>
      <c r="R129" s="132">
        <f t="shared" si="32"/>
        <v>18</v>
      </c>
      <c r="S129" s="1">
        <f t="shared" si="62"/>
        <v>5</v>
      </c>
      <c r="T129" s="1">
        <f t="shared" si="63"/>
        <v>12.313333333333333</v>
      </c>
      <c r="U129" s="133">
        <f t="shared" si="43"/>
        <v>7.3091499729290748</v>
      </c>
      <c r="V129" s="132">
        <f>IF(Calculations!$B$17=3,2,IF((S129*R129/T129)&lt;((T129*(1-(T129/R129)))/(2*Lm*fsw)),1,2))</f>
        <v>2</v>
      </c>
      <c r="W129" s="1">
        <f t="shared" si="44"/>
        <v>0.31592592592592594</v>
      </c>
      <c r="X129" s="133">
        <f t="shared" si="35"/>
        <v>0.68407407407407406</v>
      </c>
      <c r="Y129" s="132">
        <f t="shared" si="36"/>
        <v>1.5560404938271604</v>
      </c>
      <c r="Z129" s="1">
        <f t="shared" si="45"/>
        <v>8.0871702198426547</v>
      </c>
      <c r="AA129" s="1">
        <f t="shared" si="46"/>
        <v>7.3229396530108213</v>
      </c>
      <c r="AB129" s="1">
        <v>0</v>
      </c>
      <c r="AC129" s="1">
        <f t="shared" si="47"/>
        <v>0.88481984516703116</v>
      </c>
      <c r="AD129" s="133">
        <f t="shared" si="48"/>
        <v>0.88481984516703116</v>
      </c>
      <c r="AE129" s="132">
        <f t="shared" si="60"/>
        <v>2.3091499729290743</v>
      </c>
      <c r="AF129" s="1">
        <f t="shared" si="49"/>
        <v>4.1160258035975099</v>
      </c>
      <c r="AG129" s="1">
        <f t="shared" si="37"/>
        <v>0.33883336831761057</v>
      </c>
      <c r="AH129" s="1">
        <f t="shared" si="50"/>
        <v>0.41719326779335947</v>
      </c>
      <c r="AI129" s="133">
        <f t="shared" si="51"/>
        <v>0.75602663611096999</v>
      </c>
      <c r="AJ129" s="132">
        <f t="shared" si="52"/>
        <v>5</v>
      </c>
      <c r="AK129" s="1">
        <f t="shared" si="53"/>
        <v>6.0567133616968958</v>
      </c>
      <c r="AL129" s="1">
        <f t="shared" si="38"/>
        <v>0.73367553491515425</v>
      </c>
      <c r="AM129" s="1">
        <f t="shared" si="54"/>
        <v>0.15427500000000002</v>
      </c>
      <c r="AN129" s="136">
        <f t="shared" si="61"/>
        <v>0.11322038307779717</v>
      </c>
      <c r="AO129" s="133">
        <f t="shared" si="55"/>
        <v>1.0011709179929515</v>
      </c>
      <c r="AP129" s="132">
        <f t="shared" si="39"/>
        <v>0.35124666580873048</v>
      </c>
      <c r="AQ129" s="137">
        <f t="shared" si="40"/>
        <v>0.88481984516703116</v>
      </c>
      <c r="AR129" s="137">
        <f t="shared" si="41"/>
        <v>3.889728928954795E-2</v>
      </c>
      <c r="AS129" s="1">
        <f t="shared" si="42"/>
        <v>5.9279999999999999E-2</v>
      </c>
      <c r="AT129" s="133">
        <f t="shared" si="56"/>
        <v>4.925333333333333E-2</v>
      </c>
      <c r="AU129" s="132">
        <f t="shared" si="57"/>
        <v>4.0255145328695958</v>
      </c>
      <c r="AV129" s="1">
        <f t="shared" si="58"/>
        <v>90</v>
      </c>
      <c r="AW129" s="133">
        <f t="shared" si="59"/>
        <v>95.718699809441247</v>
      </c>
    </row>
    <row r="130" spans="17:49" x14ac:dyDescent="0.25">
      <c r="Q130">
        <v>123</v>
      </c>
      <c r="R130" s="132">
        <f t="shared" si="32"/>
        <v>18</v>
      </c>
      <c r="S130" s="1">
        <f t="shared" si="62"/>
        <v>5</v>
      </c>
      <c r="T130" s="1">
        <f t="shared" si="63"/>
        <v>12.32</v>
      </c>
      <c r="U130" s="133">
        <f t="shared" si="43"/>
        <v>7.3051948051948052</v>
      </c>
      <c r="V130" s="132">
        <f>IF(Calculations!$B$17=3,2,IF((S130*R130/T130)&lt;((T130*(1-(T130/R130)))/(2*Lm*fsw)),1,2))</f>
        <v>2</v>
      </c>
      <c r="W130" s="1">
        <f t="shared" si="44"/>
        <v>0.31555555555555559</v>
      </c>
      <c r="X130" s="133">
        <f t="shared" si="35"/>
        <v>0.68444444444444441</v>
      </c>
      <c r="Y130" s="132">
        <f t="shared" si="36"/>
        <v>1.5550577777777781</v>
      </c>
      <c r="Z130" s="1">
        <f t="shared" si="45"/>
        <v>8.0827236940836951</v>
      </c>
      <c r="AA130" s="1">
        <f t="shared" si="46"/>
        <v>7.31897453196353</v>
      </c>
      <c r="AB130" s="1">
        <v>0</v>
      </c>
      <c r="AC130" s="1">
        <f t="shared" si="47"/>
        <v>0.88386190529225783</v>
      </c>
      <c r="AD130" s="133">
        <f t="shared" si="48"/>
        <v>0.88386190529225783</v>
      </c>
      <c r="AE130" s="132">
        <f t="shared" si="60"/>
        <v>2.3051948051948052</v>
      </c>
      <c r="AF130" s="1">
        <f t="shared" si="49"/>
        <v>4.1113850394925366</v>
      </c>
      <c r="AG130" s="1">
        <f t="shared" si="37"/>
        <v>0.33806973885926089</v>
      </c>
      <c r="AH130" s="1">
        <f t="shared" si="50"/>
        <v>0.41696751386057085</v>
      </c>
      <c r="AI130" s="133">
        <f t="shared" si="51"/>
        <v>0.75503725271983169</v>
      </c>
      <c r="AJ130" s="132">
        <f t="shared" si="52"/>
        <v>5</v>
      </c>
      <c r="AK130" s="1">
        <f t="shared" si="53"/>
        <v>6.0550723576657388</v>
      </c>
      <c r="AL130" s="1">
        <f t="shared" si="38"/>
        <v>0.73327802513135454</v>
      </c>
      <c r="AM130" s="1">
        <f t="shared" si="54"/>
        <v>0.15427500000000002</v>
      </c>
      <c r="AN130" s="136">
        <f t="shared" si="61"/>
        <v>0.11315813171717173</v>
      </c>
      <c r="AO130" s="133">
        <f t="shared" si="55"/>
        <v>1.0007111568485263</v>
      </c>
      <c r="AP130" s="132">
        <f t="shared" si="39"/>
        <v>0.35086639270692654</v>
      </c>
      <c r="AQ130" s="137">
        <f t="shared" si="40"/>
        <v>0.88386190529225783</v>
      </c>
      <c r="AR130" s="137">
        <f t="shared" si="41"/>
        <v>3.8840713566774626E-2</v>
      </c>
      <c r="AS130" s="1">
        <f t="shared" si="42"/>
        <v>5.9279999999999999E-2</v>
      </c>
      <c r="AT130" s="133">
        <f t="shared" si="56"/>
        <v>4.9280000000000004E-2</v>
      </c>
      <c r="AU130" s="132">
        <f t="shared" si="57"/>
        <v>4.0217393264265757</v>
      </c>
      <c r="AV130" s="1">
        <f t="shared" si="58"/>
        <v>90</v>
      </c>
      <c r="AW130" s="133">
        <f t="shared" si="59"/>
        <v>95.722543153063981</v>
      </c>
    </row>
    <row r="131" spans="17:49" x14ac:dyDescent="0.25">
      <c r="Q131">
        <v>124</v>
      </c>
      <c r="R131" s="132">
        <f t="shared" si="32"/>
        <v>18</v>
      </c>
      <c r="S131" s="1">
        <f t="shared" si="62"/>
        <v>5</v>
      </c>
      <c r="T131" s="1">
        <f t="shared" si="63"/>
        <v>12.326666666666666</v>
      </c>
      <c r="U131" s="133">
        <f t="shared" si="43"/>
        <v>7.3012439156300708</v>
      </c>
      <c r="V131" s="132">
        <f>IF(Calculations!$B$17=3,2,IF((S131*R131/T131)&lt;((T131*(1-(T131/R131)))/(2*Lm*fsw)),1,2))</f>
        <v>2</v>
      </c>
      <c r="W131" s="1">
        <f t="shared" si="44"/>
        <v>0.31518518518518523</v>
      </c>
      <c r="X131" s="133">
        <f t="shared" si="35"/>
        <v>0.68481481481481477</v>
      </c>
      <c r="Y131" s="132">
        <f t="shared" si="36"/>
        <v>1.5540730864197534</v>
      </c>
      <c r="Z131" s="1">
        <f t="shared" si="45"/>
        <v>8.0782804588399468</v>
      </c>
      <c r="AA131" s="1">
        <f t="shared" si="46"/>
        <v>7.3150136462861761</v>
      </c>
      <c r="AB131" s="1">
        <v>0</v>
      </c>
      <c r="AC131" s="1">
        <f t="shared" si="47"/>
        <v>0.88290550664832423</v>
      </c>
      <c r="AD131" s="133">
        <f t="shared" si="48"/>
        <v>0.88290550664832423</v>
      </c>
      <c r="AE131" s="132">
        <f t="shared" si="60"/>
        <v>2.3012439156300708</v>
      </c>
      <c r="AF131" s="1">
        <f t="shared" si="49"/>
        <v>4.1067478515241582</v>
      </c>
      <c r="AG131" s="1">
        <f t="shared" si="37"/>
        <v>0.33730755831996584</v>
      </c>
      <c r="AH131" s="1">
        <f t="shared" si="50"/>
        <v>0.41674200411808271</v>
      </c>
      <c r="AI131" s="133">
        <f t="shared" si="51"/>
        <v>0.75404956243804855</v>
      </c>
      <c r="AJ131" s="132">
        <f t="shared" si="52"/>
        <v>5</v>
      </c>
      <c r="AK131" s="1">
        <f t="shared" si="53"/>
        <v>6.0534326401930567</v>
      </c>
      <c r="AL131" s="1">
        <f t="shared" si="38"/>
        <v>0.73288093458709369</v>
      </c>
      <c r="AM131" s="1">
        <f t="shared" si="54"/>
        <v>0.15427500000000002</v>
      </c>
      <c r="AN131" s="136">
        <f t="shared" si="61"/>
        <v>0.11309592642375926</v>
      </c>
      <c r="AO131" s="133">
        <f t="shared" si="55"/>
        <v>1.0002518610108531</v>
      </c>
      <c r="AP131" s="132">
        <f t="shared" si="39"/>
        <v>0.35048673142706199</v>
      </c>
      <c r="AQ131" s="137">
        <f t="shared" si="40"/>
        <v>0.88290550664832423</v>
      </c>
      <c r="AR131" s="137">
        <f t="shared" si="41"/>
        <v>3.87840708671707E-2</v>
      </c>
      <c r="AS131" s="1">
        <f t="shared" si="42"/>
        <v>5.9279999999999999E-2</v>
      </c>
      <c r="AT131" s="133">
        <f t="shared" si="56"/>
        <v>4.9306666666666665E-2</v>
      </c>
      <c r="AU131" s="132">
        <f t="shared" si="57"/>
        <v>4.0179699057064502</v>
      </c>
      <c r="AV131" s="1">
        <f t="shared" si="58"/>
        <v>90</v>
      </c>
      <c r="AW131" s="133">
        <f t="shared" si="59"/>
        <v>95.726380914482405</v>
      </c>
    </row>
    <row r="132" spans="17:49" x14ac:dyDescent="0.25">
      <c r="Q132">
        <v>125</v>
      </c>
      <c r="R132" s="132">
        <f t="shared" si="32"/>
        <v>18</v>
      </c>
      <c r="S132" s="1">
        <f t="shared" si="62"/>
        <v>5</v>
      </c>
      <c r="T132" s="1">
        <f t="shared" si="63"/>
        <v>12.333333333333334</v>
      </c>
      <c r="U132" s="133">
        <f t="shared" si="43"/>
        <v>7.2972972972972974</v>
      </c>
      <c r="V132" s="132">
        <f>IF(Calculations!$B$17=3,2,IF((S132*R132/T132)&lt;((T132*(1-(T132/R132)))/(2*Lm*fsw)),1,2))</f>
        <v>2</v>
      </c>
      <c r="W132" s="1">
        <f t="shared" si="44"/>
        <v>0.31481481481481477</v>
      </c>
      <c r="X132" s="133">
        <f t="shared" si="35"/>
        <v>0.68518518518518523</v>
      </c>
      <c r="Y132" s="132">
        <f t="shared" si="36"/>
        <v>1.5530864197530863</v>
      </c>
      <c r="Z132" s="1">
        <f t="shared" si="45"/>
        <v>8.0738405071738413</v>
      </c>
      <c r="AA132" s="1">
        <f t="shared" si="46"/>
        <v>7.3110569890687414</v>
      </c>
      <c r="AB132" s="1">
        <v>0</v>
      </c>
      <c r="AC132" s="1">
        <f t="shared" si="47"/>
        <v>0.88195064590727967</v>
      </c>
      <c r="AD132" s="133">
        <f t="shared" si="48"/>
        <v>0.88195064590727967</v>
      </c>
      <c r="AE132" s="132">
        <f t="shared" si="60"/>
        <v>2.2972972972972969</v>
      </c>
      <c r="AF132" s="1">
        <f t="shared" si="49"/>
        <v>4.1021142314303525</v>
      </c>
      <c r="AG132" s="1">
        <f t="shared" si="37"/>
        <v>0.3365468233540686</v>
      </c>
      <c r="AH132" s="1">
        <f t="shared" si="50"/>
        <v>0.41651673816991075</v>
      </c>
      <c r="AI132" s="133">
        <f t="shared" si="51"/>
        <v>0.75306356152397935</v>
      </c>
      <c r="AJ132" s="132">
        <f t="shared" si="52"/>
        <v>5</v>
      </c>
      <c r="AK132" s="1">
        <f t="shared" si="53"/>
        <v>6.0517942074815698</v>
      </c>
      <c r="AL132" s="1">
        <f t="shared" si="38"/>
        <v>0.73248426259414967</v>
      </c>
      <c r="AM132" s="1">
        <f t="shared" si="54"/>
        <v>0.15427500000000002</v>
      </c>
      <c r="AN132" s="136">
        <f t="shared" si="61"/>
        <v>0.11303376710043378</v>
      </c>
      <c r="AO132" s="133">
        <f t="shared" si="55"/>
        <v>0.9997930296945835</v>
      </c>
      <c r="AP132" s="132">
        <f t="shared" si="39"/>
        <v>0.35010768064804126</v>
      </c>
      <c r="AQ132" s="137">
        <f t="shared" si="40"/>
        <v>0.88195064590727967</v>
      </c>
      <c r="AR132" s="137">
        <f t="shared" si="41"/>
        <v>3.8727361463285453E-2</v>
      </c>
      <c r="AS132" s="1">
        <f t="shared" si="42"/>
        <v>5.9279999999999999E-2</v>
      </c>
      <c r="AT132" s="133">
        <f t="shared" si="56"/>
        <v>4.933333333333334E-2</v>
      </c>
      <c r="AU132" s="132">
        <f t="shared" si="57"/>
        <v>4.014206258477782</v>
      </c>
      <c r="AV132" s="1">
        <f t="shared" si="58"/>
        <v>90</v>
      </c>
      <c r="AW132" s="133">
        <f t="shared" si="59"/>
        <v>95.730213104771281</v>
      </c>
    </row>
    <row r="133" spans="17:49" x14ac:dyDescent="0.25">
      <c r="Q133">
        <v>126</v>
      </c>
      <c r="R133" s="132">
        <f t="shared" si="32"/>
        <v>18</v>
      </c>
      <c r="S133" s="1">
        <f t="shared" si="62"/>
        <v>5</v>
      </c>
      <c r="T133" s="1">
        <f t="shared" si="63"/>
        <v>12.34</v>
      </c>
      <c r="U133" s="133">
        <f t="shared" si="43"/>
        <v>7.293354943273906</v>
      </c>
      <c r="V133" s="132">
        <f>IF(Calculations!$B$17=3,2,IF((S133*R133/T133)&lt;((T133*(1-(T133/R133)))/(2*Lm*fsw)),1,2))</f>
        <v>2</v>
      </c>
      <c r="W133" s="1">
        <f t="shared" si="44"/>
        <v>0.31444444444444442</v>
      </c>
      <c r="X133" s="133">
        <f t="shared" si="35"/>
        <v>0.68555555555555558</v>
      </c>
      <c r="Y133" s="132">
        <f t="shared" si="36"/>
        <v>1.5520977777777776</v>
      </c>
      <c r="Z133" s="1">
        <f t="shared" si="45"/>
        <v>8.069403832162795</v>
      </c>
      <c r="AA133" s="1">
        <f t="shared" si="46"/>
        <v>7.3071045534164769</v>
      </c>
      <c r="AB133" s="1">
        <v>0</v>
      </c>
      <c r="AC133" s="1">
        <f t="shared" si="47"/>
        <v>0.88099731975023698</v>
      </c>
      <c r="AD133" s="133">
        <f t="shared" si="48"/>
        <v>0.88099731975023698</v>
      </c>
      <c r="AE133" s="132">
        <f t="shared" si="60"/>
        <v>2.293354943273906</v>
      </c>
      <c r="AF133" s="1">
        <f t="shared" si="49"/>
        <v>4.0974841709599241</v>
      </c>
      <c r="AG133" s="1">
        <f t="shared" si="37"/>
        <v>0.33578753062534278</v>
      </c>
      <c r="AH133" s="1">
        <f t="shared" si="50"/>
        <v>0.41629171562092654</v>
      </c>
      <c r="AI133" s="133">
        <f t="shared" si="51"/>
        <v>0.75207924624626932</v>
      </c>
      <c r="AJ133" s="132">
        <f t="shared" si="52"/>
        <v>5</v>
      </c>
      <c r="AK133" s="1">
        <f t="shared" si="53"/>
        <v>6.050157057737648</v>
      </c>
      <c r="AL133" s="1">
        <f t="shared" si="38"/>
        <v>0.73208800846585353</v>
      </c>
      <c r="AM133" s="1">
        <f t="shared" si="54"/>
        <v>0.15427500000000002</v>
      </c>
      <c r="AN133" s="136">
        <f t="shared" si="61"/>
        <v>0.11297165365027913</v>
      </c>
      <c r="AO133" s="133">
        <f t="shared" si="55"/>
        <v>0.99933466211613275</v>
      </c>
      <c r="AP133" s="132">
        <f t="shared" si="39"/>
        <v>0.34972923905236675</v>
      </c>
      <c r="AQ133" s="137">
        <f t="shared" si="40"/>
        <v>0.88099731975023698</v>
      </c>
      <c r="AR133" s="137">
        <f t="shared" si="41"/>
        <v>3.8670585628120736E-2</v>
      </c>
      <c r="AS133" s="1">
        <f t="shared" si="42"/>
        <v>5.9279999999999999E-2</v>
      </c>
      <c r="AT133" s="133">
        <f t="shared" si="56"/>
        <v>4.9360000000000001E-2</v>
      </c>
      <c r="AU133" s="132">
        <f t="shared" si="57"/>
        <v>4.0104483725433635</v>
      </c>
      <c r="AV133" s="1">
        <f t="shared" si="58"/>
        <v>90</v>
      </c>
      <c r="AW133" s="133">
        <f t="shared" si="59"/>
        <v>95.73403973497625</v>
      </c>
    </row>
    <row r="134" spans="17:49" x14ac:dyDescent="0.25">
      <c r="Q134">
        <v>127</v>
      </c>
      <c r="R134" s="132">
        <f t="shared" si="32"/>
        <v>18</v>
      </c>
      <c r="S134" s="1">
        <f t="shared" si="62"/>
        <v>5</v>
      </c>
      <c r="T134" s="1">
        <f t="shared" si="63"/>
        <v>12.346666666666668</v>
      </c>
      <c r="U134" s="133">
        <f t="shared" si="43"/>
        <v>7.2894168466522675</v>
      </c>
      <c r="V134" s="132">
        <f>IF(Calculations!$B$17=3,2,IF((S134*R134/T134)&lt;((T134*(1-(T134/R134)))/(2*Lm*fsw)),1,2))</f>
        <v>2</v>
      </c>
      <c r="W134" s="1">
        <f t="shared" si="44"/>
        <v>0.31407407407407406</v>
      </c>
      <c r="X134" s="133">
        <f t="shared" si="35"/>
        <v>0.68592592592592594</v>
      </c>
      <c r="Y134" s="132">
        <f t="shared" si="36"/>
        <v>1.5511071604938271</v>
      </c>
      <c r="Z134" s="1">
        <f t="shared" si="45"/>
        <v>8.0649704268991815</v>
      </c>
      <c r="AA134" s="1">
        <f t="shared" si="46"/>
        <v>7.3031563324498601</v>
      </c>
      <c r="AB134" s="1">
        <v>0</v>
      </c>
      <c r="AC134" s="1">
        <f t="shared" si="47"/>
        <v>0.88004552486734111</v>
      </c>
      <c r="AD134" s="133">
        <f t="shared" si="48"/>
        <v>0.88004552486734111</v>
      </c>
      <c r="AE134" s="132">
        <f t="shared" si="60"/>
        <v>2.2894168466522675</v>
      </c>
      <c r="AF134" s="1">
        <f t="shared" si="49"/>
        <v>4.0928576618724533</v>
      </c>
      <c r="AG134" s="1">
        <f t="shared" si="37"/>
        <v>0.33502967680696089</v>
      </c>
      <c r="AH134" s="1">
        <f t="shared" si="50"/>
        <v>0.41606693607685469</v>
      </c>
      <c r="AI134" s="133">
        <f t="shared" si="51"/>
        <v>0.75109661288381557</v>
      </c>
      <c r="AJ134" s="132">
        <f t="shared" si="52"/>
        <v>5</v>
      </c>
      <c r="AK134" s="1">
        <f t="shared" si="53"/>
        <v>6.0485211891713213</v>
      </c>
      <c r="AL134" s="1">
        <f t="shared" si="38"/>
        <v>0.7316921715170891</v>
      </c>
      <c r="AM134" s="1">
        <f t="shared" si="54"/>
        <v>0.15427500000000002</v>
      </c>
      <c r="AN134" s="136">
        <f t="shared" si="61"/>
        <v>0.11290958597658854</v>
      </c>
      <c r="AO134" s="133">
        <f t="shared" si="55"/>
        <v>0.99887675749367766</v>
      </c>
      <c r="AP134" s="132">
        <f t="shared" si="39"/>
        <v>0.3493514053261263</v>
      </c>
      <c r="AQ134" s="137">
        <f t="shared" si="40"/>
        <v>0.88004552486734111</v>
      </c>
      <c r="AR134" s="137">
        <f t="shared" si="41"/>
        <v>3.8613743635129233E-2</v>
      </c>
      <c r="AS134" s="1">
        <f t="shared" si="42"/>
        <v>5.9279999999999999E-2</v>
      </c>
      <c r="AT134" s="133">
        <f t="shared" si="56"/>
        <v>4.9386666666666669E-2</v>
      </c>
      <c r="AU134" s="132">
        <f t="shared" si="57"/>
        <v>4.0066962357400975</v>
      </c>
      <c r="AV134" s="1">
        <f t="shared" si="58"/>
        <v>90</v>
      </c>
      <c r="AW134" s="133">
        <f t="shared" si="59"/>
        <v>95.737860816114079</v>
      </c>
    </row>
    <row r="135" spans="17:49" x14ac:dyDescent="0.25">
      <c r="Q135">
        <v>128</v>
      </c>
      <c r="R135" s="132">
        <f t="shared" ref="R135:R157" si="64">VOUT</f>
        <v>18</v>
      </c>
      <c r="S135" s="1">
        <f t="shared" ref="S135:S157" si="65">IOUT</f>
        <v>5</v>
      </c>
      <c r="T135" s="1">
        <f t="shared" ref="T135:T157" si="66">VIN_MIN+($O$12)*(Q135)</f>
        <v>12.353333333333333</v>
      </c>
      <c r="U135" s="133">
        <f t="shared" si="43"/>
        <v>7.2854830005396654</v>
      </c>
      <c r="V135" s="132">
        <f>IF(Calculations!$B$17=3,2,IF((S135*R135/T135)&lt;((T135*(1-(T135/R135)))/(2*Lm*fsw)),1,2))</f>
        <v>2</v>
      </c>
      <c r="W135" s="1">
        <f t="shared" si="44"/>
        <v>0.31370370370370371</v>
      </c>
      <c r="X135" s="133">
        <f t="shared" ref="X135:X157" si="67">CHOOSE(V135,(Lm*Z135*fsw)/(R135-T135),1-W135)</f>
        <v>0.68629629629629629</v>
      </c>
      <c r="Y135" s="132">
        <f t="shared" ref="Y135:Y157" si="68">(T135*W135)/(Lm*fsw)</f>
        <v>1.5501145679012347</v>
      </c>
      <c r="Z135" s="1">
        <f t="shared" si="45"/>
        <v>8.0605402844902834</v>
      </c>
      <c r="AA135" s="1">
        <f t="shared" si="46"/>
        <v>7.2992123193045577</v>
      </c>
      <c r="AB135" s="1">
        <v>0</v>
      </c>
      <c r="AC135" s="1">
        <f t="shared" si="47"/>
        <v>0.87909525795774246</v>
      </c>
      <c r="AD135" s="133">
        <f t="shared" si="48"/>
        <v>0.87909525795774246</v>
      </c>
      <c r="AE135" s="132">
        <f t="shared" si="60"/>
        <v>2.2854830005396654</v>
      </c>
      <c r="AF135" s="1">
        <f t="shared" si="49"/>
        <v>4.088234695938227</v>
      </c>
      <c r="AG135" s="1">
        <f t="shared" ref="AG135:AG157" si="69">(AF135^2)*RDS_on</f>
        <v>0.33427325858146256</v>
      </c>
      <c r="AH135" s="1">
        <f t="shared" si="50"/>
        <v>0.41584239914427146</v>
      </c>
      <c r="AI135" s="133">
        <f t="shared" si="51"/>
        <v>0.75011565772573396</v>
      </c>
      <c r="AJ135" s="132">
        <f t="shared" si="52"/>
        <v>5</v>
      </c>
      <c r="AK135" s="1">
        <f t="shared" si="53"/>
        <v>6.0468865999962569</v>
      </c>
      <c r="AL135" s="1">
        <f t="shared" ref="AL135:AL157" si="70">(AK135^2)*RDS_on_HS</f>
        <v>0.73129675106428582</v>
      </c>
      <c r="AM135" s="1">
        <f t="shared" si="54"/>
        <v>0.15427500000000002</v>
      </c>
      <c r="AN135" s="136">
        <f t="shared" si="61"/>
        <v>0.11284756398286397</v>
      </c>
      <c r="AO135" s="133">
        <f t="shared" si="55"/>
        <v>0.99841931504714987</v>
      </c>
      <c r="AP135" s="132">
        <f t="shared" ref="AP135:AP157" si="71">(AA135^2)*Rcs</f>
        <v>0.34897417815898257</v>
      </c>
      <c r="AQ135" s="137">
        <f t="shared" ref="AQ135:AQ157" si="72">Rdcr*AA135^2</f>
        <v>0.87909525795774246</v>
      </c>
      <c r="AR135" s="137">
        <f t="shared" ref="AR135:AR157" si="73">ABS(7.759*10^-3*fsw^0.9458*(0.00787*Y135)^2.304)</f>
        <v>3.8556835758215183E-2</v>
      </c>
      <c r="AS135" s="1">
        <f t="shared" ref="AS135:AS157" si="74">(Qg_tot+Qg_tot_HS)*VCC*fsw</f>
        <v>5.9279999999999999E-2</v>
      </c>
      <c r="AT135" s="133">
        <f t="shared" si="56"/>
        <v>4.9413333333333337E-2</v>
      </c>
      <c r="AU135" s="132">
        <f t="shared" si="57"/>
        <v>4.0029498359389004</v>
      </c>
      <c r="AV135" s="1">
        <f t="shared" si="58"/>
        <v>90</v>
      </c>
      <c r="AW135" s="133">
        <f t="shared" si="59"/>
        <v>95.741676359172601</v>
      </c>
    </row>
    <row r="136" spans="17:49" x14ac:dyDescent="0.25">
      <c r="Q136">
        <v>129</v>
      </c>
      <c r="R136" s="132">
        <f t="shared" si="64"/>
        <v>18</v>
      </c>
      <c r="S136" s="1">
        <f t="shared" si="65"/>
        <v>5</v>
      </c>
      <c r="T136" s="1">
        <f t="shared" si="66"/>
        <v>12.36</v>
      </c>
      <c r="U136" s="133">
        <f t="shared" ref="U136:U157" si="75">(R136*S136)/(T136*EFF_est)</f>
        <v>7.2815533980582527</v>
      </c>
      <c r="V136" s="132">
        <f>IF(Calculations!$B$17=3,2,IF((S136*R136/T136)&lt;((T136*(1-(T136/R136)))/(2*Lm*fsw)),1,2))</f>
        <v>2</v>
      </c>
      <c r="W136" s="1">
        <f t="shared" ref="W136:W157" si="76">CHOOSE(V136,SQRT((2*S136*Lm*fsw*(R136-T136))/((T136)^2)),1-(T136/R136))</f>
        <v>0.31333333333333335</v>
      </c>
      <c r="X136" s="133">
        <f t="shared" si="67"/>
        <v>0.68666666666666665</v>
      </c>
      <c r="Y136" s="132">
        <f t="shared" si="68"/>
        <v>1.5491200000000001</v>
      </c>
      <c r="Z136" s="1">
        <f t="shared" ref="Z136:Z157" si="77">CHOOSE(V136,Y136,U136+(0.5*Y136))</f>
        <v>8.0561133980582529</v>
      </c>
      <c r="AA136" s="1">
        <f t="shared" ref="AA136:AA157" si="78">CHOOSE(V136,Z136*SQRT((W136+X136)/3),SQRT((U136^2)+((Y136^2)/12)))</f>
        <v>7.2952725071313838</v>
      </c>
      <c r="AB136" s="1">
        <v>0</v>
      </c>
      <c r="AC136" s="1">
        <f t="shared" ref="AC136:AC157" si="79">(AA136^2)*Rdcr</f>
        <v>0.87814651572956592</v>
      </c>
      <c r="AD136" s="133">
        <f t="shared" ref="AD136:AD157" si="80">AB136+AC136</f>
        <v>0.87814651572956592</v>
      </c>
      <c r="AE136" s="132">
        <f t="shared" si="60"/>
        <v>2.2815533980582527</v>
      </c>
      <c r="AF136" s="1">
        <f t="shared" ref="AF136:AF157" si="81">CHOOSE(V136,Z136*SQRT(W136/3),SQRT(W136*((Z136^2)+((Y136^2)/3)-(Z136*Y136))))</f>
        <v>4.0836152649381896</v>
      </c>
      <c r="AG136" s="1">
        <f t="shared" si="69"/>
        <v>0.33351827264072398</v>
      </c>
      <c r="AH136" s="1">
        <f t="shared" ref="AH136:AH157" si="82">((R136*U136)/2)*fsw*(tr_sw+tf_sw)</f>
        <v>0.41561810443060138</v>
      </c>
      <c r="AI136" s="133">
        <f t="shared" ref="AI136:AI157" si="83">AG136+AH136</f>
        <v>0.7491363770713253</v>
      </c>
      <c r="AJ136" s="132">
        <f t="shared" ref="AJ136:AJ156" si="84">X136*U136</f>
        <v>5</v>
      </c>
      <c r="AK136" s="1">
        <f t="shared" ref="AK136:AK157" si="85">CHOOSE(V136,Z136*SQRT(X136/3),SQRT(X136*((Z136^2)+((Y136^2)/3)-(Y136*Z136))))</f>
        <v>6.0452532884297598</v>
      </c>
      <c r="AL136" s="1">
        <f t="shared" si="70"/>
        <v>0.73090174642541661</v>
      </c>
      <c r="AM136" s="1">
        <f t="shared" ref="AM136:AM157" si="86">CHOOSE(V136,(R136+Vd_rect)*Qrr*fsw,(R136+Vd_rect)*Qrr*fsw)</f>
        <v>0.15427500000000002</v>
      </c>
      <c r="AN136" s="136">
        <f t="shared" si="61"/>
        <v>0.11278558757281554</v>
      </c>
      <c r="AO136" s="133">
        <f t="shared" ref="AO136:AO157" si="87">AL136+AM136+AN136</f>
        <v>0.9979623339982322</v>
      </c>
      <c r="AP136" s="132">
        <f t="shared" si="71"/>
        <v>0.348597556244161</v>
      </c>
      <c r="AQ136" s="137">
        <f t="shared" si="72"/>
        <v>0.87814651572956592</v>
      </c>
      <c r="AR136" s="137">
        <f t="shared" si="73"/>
        <v>3.8499862271732348E-2</v>
      </c>
      <c r="AS136" s="1">
        <f t="shared" si="74"/>
        <v>5.9279999999999999E-2</v>
      </c>
      <c r="AT136" s="133">
        <f t="shared" ref="AT136:AT157" si="88">IQ*T136</f>
        <v>4.9439999999999998E-2</v>
      </c>
      <c r="AU136" s="132">
        <f t="shared" ref="AU136:AU157" si="89">AP136+AO136+AI136+AD136+AS136+AT136+AQ136+AR136</f>
        <v>3.9992091610445826</v>
      </c>
      <c r="AV136" s="1">
        <f t="shared" ref="AV136:AV157" si="90">R136*S136</f>
        <v>90</v>
      </c>
      <c r="AW136" s="133">
        <f t="shared" ref="AW136:AW156" si="91">(AV136/(AV136+AU136))*100</f>
        <v>95.745486375110971</v>
      </c>
    </row>
    <row r="137" spans="17:49" x14ac:dyDescent="0.25">
      <c r="Q137">
        <v>130</v>
      </c>
      <c r="R137" s="132">
        <f t="shared" si="64"/>
        <v>18</v>
      </c>
      <c r="S137" s="1">
        <f t="shared" si="65"/>
        <v>5</v>
      </c>
      <c r="T137" s="1">
        <f t="shared" si="66"/>
        <v>12.366666666666667</v>
      </c>
      <c r="U137" s="133">
        <f t="shared" si="75"/>
        <v>7.2776280323450129</v>
      </c>
      <c r="V137" s="132">
        <f>IF(Calculations!$B$17=3,2,IF((S137*R137/T137)&lt;((T137*(1-(T137/R137)))/(2*Lm*fsw)),1,2))</f>
        <v>2</v>
      </c>
      <c r="W137" s="1">
        <f t="shared" si="76"/>
        <v>0.31296296296296289</v>
      </c>
      <c r="X137" s="133">
        <f t="shared" si="67"/>
        <v>0.68703703703703711</v>
      </c>
      <c r="Y137" s="132">
        <f t="shared" si="68"/>
        <v>1.548123456790123</v>
      </c>
      <c r="Z137" s="1">
        <f t="shared" si="77"/>
        <v>8.051689760740075</v>
      </c>
      <c r="AA137" s="1">
        <f t="shared" si="78"/>
        <v>7.29133688909626</v>
      </c>
      <c r="AB137" s="1">
        <v>0</v>
      </c>
      <c r="AC137" s="1">
        <f t="shared" si="79"/>
        <v>0.8771992948998828</v>
      </c>
      <c r="AD137" s="133">
        <f t="shared" si="80"/>
        <v>0.8771992948998828</v>
      </c>
      <c r="AE137" s="132">
        <f t="shared" ref="AE137:AE157" si="92">U137*W137</f>
        <v>2.2776280323450129</v>
      </c>
      <c r="AF137" s="1">
        <f t="shared" si="81"/>
        <v>4.078999360663877</v>
      </c>
      <c r="AG137" s="1">
        <f t="shared" si="69"/>
        <v>0.33276471568592636</v>
      </c>
      <c r="AH137" s="1">
        <f t="shared" si="82"/>
        <v>0.41539405154411579</v>
      </c>
      <c r="AI137" s="133">
        <f t="shared" si="83"/>
        <v>0.74815876723004215</v>
      </c>
      <c r="AJ137" s="132">
        <f t="shared" si="84"/>
        <v>5</v>
      </c>
      <c r="AK137" s="1">
        <f t="shared" si="85"/>
        <v>6.0436212526927617</v>
      </c>
      <c r="AL137" s="1">
        <f t="shared" si="70"/>
        <v>0.73050715691999257</v>
      </c>
      <c r="AM137" s="1">
        <f t="shared" si="86"/>
        <v>0.15427500000000002</v>
      </c>
      <c r="AN137" s="136">
        <f t="shared" ref="AN137:AN157" si="93">Vd_rect*t_dead*fsw*Z137</f>
        <v>0.11272365665036105</v>
      </c>
      <c r="AO137" s="133">
        <f t="shared" si="87"/>
        <v>0.99750581357035362</v>
      </c>
      <c r="AP137" s="132">
        <f t="shared" si="71"/>
        <v>0.34822153827843827</v>
      </c>
      <c r="AQ137" s="137">
        <f t="shared" si="72"/>
        <v>0.8771992948998828</v>
      </c>
      <c r="AR137" s="137">
        <f t="shared" si="73"/>
        <v>3.8442823450484574E-2</v>
      </c>
      <c r="AS137" s="1">
        <f t="shared" si="74"/>
        <v>5.9279999999999999E-2</v>
      </c>
      <c r="AT137" s="133">
        <f t="shared" si="88"/>
        <v>4.9466666666666673E-2</v>
      </c>
      <c r="AU137" s="132">
        <f t="shared" si="89"/>
        <v>3.9954741989957507</v>
      </c>
      <c r="AV137" s="1">
        <f t="shared" si="90"/>
        <v>90</v>
      </c>
      <c r="AW137" s="133">
        <f t="shared" si="91"/>
        <v>95.749290874859554</v>
      </c>
    </row>
    <row r="138" spans="17:49" x14ac:dyDescent="0.25">
      <c r="Q138">
        <v>131</v>
      </c>
      <c r="R138" s="132">
        <f t="shared" si="64"/>
        <v>18</v>
      </c>
      <c r="S138" s="1">
        <f t="shared" si="65"/>
        <v>5</v>
      </c>
      <c r="T138" s="1">
        <f t="shared" si="66"/>
        <v>12.373333333333333</v>
      </c>
      <c r="U138" s="133">
        <f t="shared" si="75"/>
        <v>7.2737068965517242</v>
      </c>
      <c r="V138" s="132">
        <f>IF(Calculations!$B$17=3,2,IF((S138*R138/T138)&lt;((T138*(1-(T138/R138)))/(2*Lm*fsw)),1,2))</f>
        <v>2</v>
      </c>
      <c r="W138" s="1">
        <f t="shared" si="76"/>
        <v>0.31259259259259264</v>
      </c>
      <c r="X138" s="133">
        <f t="shared" si="67"/>
        <v>0.68740740740740736</v>
      </c>
      <c r="Y138" s="132">
        <f t="shared" si="68"/>
        <v>1.547124938271605</v>
      </c>
      <c r="Z138" s="1">
        <f t="shared" si="77"/>
        <v>8.0472693656875265</v>
      </c>
      <c r="AA138" s="1">
        <f t="shared" si="78"/>
        <v>7.2874054583801824</v>
      </c>
      <c r="AB138" s="1">
        <v>0</v>
      </c>
      <c r="AC138" s="1">
        <f t="shared" si="79"/>
        <v>0.87625359219468313</v>
      </c>
      <c r="AD138" s="133">
        <f t="shared" si="80"/>
        <v>0.87625359219468313</v>
      </c>
      <c r="AE138" s="132">
        <f t="shared" si="92"/>
        <v>2.2737068965517246</v>
      </c>
      <c r="AF138" s="1">
        <f t="shared" si="81"/>
        <v>4.0743869749173633</v>
      </c>
      <c r="AG138" s="1">
        <f t="shared" si="69"/>
        <v>0.33201258442752524</v>
      </c>
      <c r="AH138" s="1">
        <f t="shared" si="82"/>
        <v>0.4151702400939305</v>
      </c>
      <c r="AI138" s="133">
        <f t="shared" si="83"/>
        <v>0.74718282452145579</v>
      </c>
      <c r="AJ138" s="132">
        <f t="shared" si="84"/>
        <v>5</v>
      </c>
      <c r="AK138" s="1">
        <f t="shared" si="85"/>
        <v>6.0419904910098134</v>
      </c>
      <c r="AL138" s="1">
        <f t="shared" si="70"/>
        <v>0.73011298186906015</v>
      </c>
      <c r="AM138" s="1">
        <f t="shared" si="86"/>
        <v>0.15427500000000002</v>
      </c>
      <c r="AN138" s="136">
        <f t="shared" si="93"/>
        <v>0.11266177111962537</v>
      </c>
      <c r="AO138" s="133">
        <f t="shared" si="87"/>
        <v>0.99704975298868559</v>
      </c>
      <c r="AP138" s="132">
        <f t="shared" si="71"/>
        <v>0.34784612296213174</v>
      </c>
      <c r="AQ138" s="137">
        <f t="shared" si="72"/>
        <v>0.87625359219468313</v>
      </c>
      <c r="AR138" s="137">
        <f t="shared" si="73"/>
        <v>3.8385719569724301E-2</v>
      </c>
      <c r="AS138" s="1">
        <f t="shared" si="74"/>
        <v>5.9279999999999999E-2</v>
      </c>
      <c r="AT138" s="133">
        <f t="shared" si="88"/>
        <v>4.9493333333333334E-2</v>
      </c>
      <c r="AU138" s="132">
        <f t="shared" si="89"/>
        <v>3.9917449377646967</v>
      </c>
      <c r="AV138" s="1">
        <f t="shared" si="90"/>
        <v>90</v>
      </c>
      <c r="AW138" s="133">
        <f t="shared" si="91"/>
        <v>95.753089869320149</v>
      </c>
    </row>
    <row r="139" spans="17:49" x14ac:dyDescent="0.25">
      <c r="Q139">
        <v>132</v>
      </c>
      <c r="R139" s="132">
        <f t="shared" si="64"/>
        <v>18</v>
      </c>
      <c r="S139" s="1">
        <f t="shared" si="65"/>
        <v>5</v>
      </c>
      <c r="T139" s="1">
        <f t="shared" si="66"/>
        <v>12.38</v>
      </c>
      <c r="U139" s="133">
        <f t="shared" si="75"/>
        <v>7.2697899838449107</v>
      </c>
      <c r="V139" s="132">
        <f>IF(Calculations!$B$17=3,2,IF((S139*R139/T139)&lt;((T139*(1-(T139/R139)))/(2*Lm*fsw)),1,2))</f>
        <v>2</v>
      </c>
      <c r="W139" s="1">
        <f t="shared" si="76"/>
        <v>0.31222222222222218</v>
      </c>
      <c r="X139" s="133">
        <f t="shared" si="67"/>
        <v>0.68777777777777782</v>
      </c>
      <c r="Y139" s="132">
        <f t="shared" si="68"/>
        <v>1.5461244444444442</v>
      </c>
      <c r="Z139" s="1">
        <f t="shared" si="77"/>
        <v>8.042852206067133</v>
      </c>
      <c r="AA139" s="1">
        <f t="shared" si="78"/>
        <v>7.2834782081791687</v>
      </c>
      <c r="AB139" s="1">
        <v>0</v>
      </c>
      <c r="AC139" s="1">
        <f t="shared" si="79"/>
        <v>0.87530940434884374</v>
      </c>
      <c r="AD139" s="133">
        <f t="shared" si="80"/>
        <v>0.87530940434884374</v>
      </c>
      <c r="AE139" s="132">
        <f t="shared" si="92"/>
        <v>2.2697899838449107</v>
      </c>
      <c r="AF139" s="1">
        <f t="shared" si="81"/>
        <v>4.0697780995111943</v>
      </c>
      <c r="AG139" s="1">
        <f t="shared" si="69"/>
        <v>0.33126187558521897</v>
      </c>
      <c r="AH139" s="1">
        <f t="shared" si="82"/>
        <v>0.41494666969000266</v>
      </c>
      <c r="AI139" s="133">
        <f t="shared" si="83"/>
        <v>0.74620854527522162</v>
      </c>
      <c r="AJ139" s="132">
        <f t="shared" si="84"/>
        <v>5</v>
      </c>
      <c r="AK139" s="1">
        <f t="shared" si="85"/>
        <v>6.0403610016090834</v>
      </c>
      <c r="AL139" s="1">
        <f t="shared" si="70"/>
        <v>0.72971922059519789</v>
      </c>
      <c r="AM139" s="1">
        <f t="shared" si="86"/>
        <v>0.15427500000000002</v>
      </c>
      <c r="AN139" s="136">
        <f t="shared" si="93"/>
        <v>0.11259993088493986</v>
      </c>
      <c r="AO139" s="133">
        <f t="shared" si="87"/>
        <v>0.99659415148013775</v>
      </c>
      <c r="AP139" s="132">
        <f t="shared" si="71"/>
        <v>0.3474713089990864</v>
      </c>
      <c r="AQ139" s="137">
        <f t="shared" si="72"/>
        <v>0.87530940434884374</v>
      </c>
      <c r="AR139" s="137">
        <f t="shared" si="73"/>
        <v>3.8328550905152428E-2</v>
      </c>
      <c r="AS139" s="1">
        <f t="shared" si="74"/>
        <v>5.9279999999999999E-2</v>
      </c>
      <c r="AT139" s="133">
        <f t="shared" si="88"/>
        <v>4.9520000000000002E-2</v>
      </c>
      <c r="AU139" s="132">
        <f t="shared" si="89"/>
        <v>3.988021365357286</v>
      </c>
      <c r="AV139" s="1">
        <f t="shared" si="90"/>
        <v>90</v>
      </c>
      <c r="AW139" s="133">
        <f t="shared" si="91"/>
        <v>95.756883369366037</v>
      </c>
    </row>
    <row r="140" spans="17:49" x14ac:dyDescent="0.25">
      <c r="Q140">
        <v>133</v>
      </c>
      <c r="R140" s="132">
        <f t="shared" si="64"/>
        <v>18</v>
      </c>
      <c r="S140" s="1">
        <f t="shared" si="65"/>
        <v>5</v>
      </c>
      <c r="T140" s="1">
        <f t="shared" si="66"/>
        <v>12.386666666666667</v>
      </c>
      <c r="U140" s="133">
        <f t="shared" si="75"/>
        <v>7.2658772874058126</v>
      </c>
      <c r="V140" s="132">
        <f>IF(Calculations!$B$17=3,2,IF((S140*R140/T140)&lt;((T140*(1-(T140/R140)))/(2*Lm*fsw)),1,2))</f>
        <v>2</v>
      </c>
      <c r="W140" s="1">
        <f t="shared" si="76"/>
        <v>0.31185185185185182</v>
      </c>
      <c r="X140" s="133">
        <f t="shared" si="67"/>
        <v>0.68814814814814818</v>
      </c>
      <c r="Y140" s="132">
        <f t="shared" si="68"/>
        <v>1.5451219753086418</v>
      </c>
      <c r="Z140" s="1">
        <f t="shared" si="77"/>
        <v>8.038438275060134</v>
      </c>
      <c r="AA140" s="1">
        <f t="shared" si="78"/>
        <v>7.2795551317042344</v>
      </c>
      <c r="AB140" s="1">
        <v>0</v>
      </c>
      <c r="AC140" s="1">
        <f t="shared" si="79"/>
        <v>0.87436672810610405</v>
      </c>
      <c r="AD140" s="133">
        <f t="shared" si="80"/>
        <v>0.87436672810610405</v>
      </c>
      <c r="AE140" s="132">
        <f t="shared" si="92"/>
        <v>2.2658772874058126</v>
      </c>
      <c r="AF140" s="1">
        <f t="shared" si="81"/>
        <v>4.0651727262683384</v>
      </c>
      <c r="AG140" s="1">
        <f t="shared" si="69"/>
        <v>0.3305125858879191</v>
      </c>
      <c r="AH140" s="1">
        <f t="shared" si="82"/>
        <v>0.41472333994312965</v>
      </c>
      <c r="AI140" s="133">
        <f t="shared" si="83"/>
        <v>0.74523592583104881</v>
      </c>
      <c r="AJ140" s="132">
        <f t="shared" si="84"/>
        <v>5</v>
      </c>
      <c r="AK140" s="1">
        <f t="shared" si="85"/>
        <v>6.0387327827223416</v>
      </c>
      <c r="AL140" s="1">
        <f t="shared" si="70"/>
        <v>0.72932587242251035</v>
      </c>
      <c r="AM140" s="1">
        <f t="shared" si="86"/>
        <v>0.15427500000000002</v>
      </c>
      <c r="AN140" s="136">
        <f t="shared" si="93"/>
        <v>0.11253813585084188</v>
      </c>
      <c r="AO140" s="133">
        <f t="shared" si="87"/>
        <v>0.99613900827335233</v>
      </c>
      <c r="AP140" s="132">
        <f t="shared" si="71"/>
        <v>0.34709709509666553</v>
      </c>
      <c r="AQ140" s="137">
        <f t="shared" si="72"/>
        <v>0.87436672810610405</v>
      </c>
      <c r="AR140" s="137">
        <f t="shared" si="73"/>
        <v>3.827131773291733E-2</v>
      </c>
      <c r="AS140" s="1">
        <f t="shared" si="74"/>
        <v>5.9279999999999999E-2</v>
      </c>
      <c r="AT140" s="133">
        <f t="shared" si="88"/>
        <v>4.9546666666666669E-2</v>
      </c>
      <c r="AU140" s="132">
        <f t="shared" si="89"/>
        <v>3.9843034698128585</v>
      </c>
      <c r="AV140" s="1">
        <f t="shared" si="90"/>
        <v>90</v>
      </c>
      <c r="AW140" s="133">
        <f t="shared" si="91"/>
        <v>95.760671385842016</v>
      </c>
    </row>
    <row r="141" spans="17:49" x14ac:dyDescent="0.25">
      <c r="Q141">
        <v>134</v>
      </c>
      <c r="R141" s="132">
        <f t="shared" si="64"/>
        <v>18</v>
      </c>
      <c r="S141" s="1">
        <f t="shared" si="65"/>
        <v>5</v>
      </c>
      <c r="T141" s="1">
        <f t="shared" si="66"/>
        <v>12.393333333333333</v>
      </c>
      <c r="U141" s="133">
        <f t="shared" si="75"/>
        <v>7.2619688004303393</v>
      </c>
      <c r="V141" s="132">
        <f>IF(Calculations!$B$17=3,2,IF((S141*R141/T141)&lt;((T141*(1-(T141/R141)))/(2*Lm*fsw)),1,2))</f>
        <v>2</v>
      </c>
      <c r="W141" s="1">
        <f t="shared" si="76"/>
        <v>0.31148148148148147</v>
      </c>
      <c r="X141" s="133">
        <f t="shared" si="67"/>
        <v>0.68851851851851853</v>
      </c>
      <c r="Y141" s="132">
        <f t="shared" si="68"/>
        <v>1.5441175308641975</v>
      </c>
      <c r="Z141" s="1">
        <f t="shared" si="77"/>
        <v>8.0340275658624378</v>
      </c>
      <c r="AA141" s="1">
        <f t="shared" si="78"/>
        <v>7.2756362221813413</v>
      </c>
      <c r="AB141" s="1">
        <v>0</v>
      </c>
      <c r="AC141" s="1">
        <f t="shared" si="79"/>
        <v>0.8734255602190335</v>
      </c>
      <c r="AD141" s="133">
        <f t="shared" si="80"/>
        <v>0.8734255602190335</v>
      </c>
      <c r="AE141" s="132">
        <f t="shared" si="92"/>
        <v>2.2619688004303389</v>
      </c>
      <c r="AF141" s="1">
        <f t="shared" si="81"/>
        <v>4.0605708470221158</v>
      </c>
      <c r="AG141" s="1">
        <f t="shared" si="69"/>
        <v>0.3297647120737181</v>
      </c>
      <c r="AH141" s="1">
        <f t="shared" si="82"/>
        <v>0.41450025046494621</v>
      </c>
      <c r="AI141" s="133">
        <f t="shared" si="83"/>
        <v>0.74426496253866437</v>
      </c>
      <c r="AJ141" s="132">
        <f t="shared" si="84"/>
        <v>5</v>
      </c>
      <c r="AK141" s="1">
        <f t="shared" si="85"/>
        <v>6.0371058325849534</v>
      </c>
      <c r="AL141" s="1">
        <f t="shared" si="70"/>
        <v>0.72893293667662518</v>
      </c>
      <c r="AM141" s="1">
        <f t="shared" si="86"/>
        <v>0.15427500000000002</v>
      </c>
      <c r="AN141" s="136">
        <f t="shared" si="93"/>
        <v>0.11247638592207414</v>
      </c>
      <c r="AO141" s="133">
        <f t="shared" si="87"/>
        <v>0.99568432259869932</v>
      </c>
      <c r="AP141" s="132">
        <f t="shared" si="71"/>
        <v>0.34672347996573749</v>
      </c>
      <c r="AQ141" s="137">
        <f t="shared" si="72"/>
        <v>0.8734255602190335</v>
      </c>
      <c r="AR141" s="137">
        <f t="shared" si="73"/>
        <v>3.8214020329614601E-2</v>
      </c>
      <c r="AS141" s="1">
        <f t="shared" si="74"/>
        <v>5.9279999999999999E-2</v>
      </c>
      <c r="AT141" s="133">
        <f t="shared" si="88"/>
        <v>4.957333333333333E-2</v>
      </c>
      <c r="AU141" s="132">
        <f t="shared" si="89"/>
        <v>3.9805912392041156</v>
      </c>
      <c r="AV141" s="1">
        <f t="shared" si="90"/>
        <v>90</v>
      </c>
      <c r="AW141" s="133">
        <f t="shared" si="91"/>
        <v>95.764453929564539</v>
      </c>
    </row>
    <row r="142" spans="17:49" x14ac:dyDescent="0.25">
      <c r="Q142">
        <v>135</v>
      </c>
      <c r="R142" s="132">
        <f t="shared" si="64"/>
        <v>18</v>
      </c>
      <c r="S142" s="1">
        <f t="shared" si="65"/>
        <v>5</v>
      </c>
      <c r="T142" s="1">
        <f t="shared" si="66"/>
        <v>12.4</v>
      </c>
      <c r="U142" s="133">
        <f t="shared" si="75"/>
        <v>7.258064516129032</v>
      </c>
      <c r="V142" s="132">
        <f>IF(Calculations!$B$17=3,2,IF((S142*R142/T142)&lt;((T142*(1-(T142/R142)))/(2*Lm*fsw)),1,2))</f>
        <v>2</v>
      </c>
      <c r="W142" s="1">
        <f t="shared" si="76"/>
        <v>0.31111111111111112</v>
      </c>
      <c r="X142" s="133">
        <f t="shared" si="67"/>
        <v>0.68888888888888888</v>
      </c>
      <c r="Y142" s="132">
        <f t="shared" si="68"/>
        <v>1.5431111111111111</v>
      </c>
      <c r="Z142" s="1">
        <f t="shared" si="77"/>
        <v>8.0296200716845867</v>
      </c>
      <c r="AA142" s="1">
        <f t="shared" si="78"/>
        <v>7.2717214728513611</v>
      </c>
      <c r="AB142" s="1">
        <v>0</v>
      </c>
      <c r="AC142" s="1">
        <f t="shared" si="79"/>
        <v>0.87248589744900484</v>
      </c>
      <c r="AD142" s="133">
        <f t="shared" si="80"/>
        <v>0.87248589744900484</v>
      </c>
      <c r="AE142" s="132">
        <f t="shared" si="92"/>
        <v>2.258064516129032</v>
      </c>
      <c r="AF142" s="1">
        <f t="shared" si="81"/>
        <v>4.0559724536161506</v>
      </c>
      <c r="AG142" s="1">
        <f t="shared" si="69"/>
        <v>0.32901825088986031</v>
      </c>
      <c r="AH142" s="1">
        <f t="shared" si="82"/>
        <v>0.41427740086792192</v>
      </c>
      <c r="AI142" s="133">
        <f t="shared" si="83"/>
        <v>0.74329565175778223</v>
      </c>
      <c r="AJ142" s="132">
        <f t="shared" si="84"/>
        <v>5</v>
      </c>
      <c r="AK142" s="1">
        <f t="shared" si="85"/>
        <v>6.0354801494358785</v>
      </c>
      <c r="AL142" s="1">
        <f t="shared" si="70"/>
        <v>0.72854041268469072</v>
      </c>
      <c r="AM142" s="1">
        <f t="shared" si="86"/>
        <v>0.15427500000000002</v>
      </c>
      <c r="AN142" s="136">
        <f t="shared" si="93"/>
        <v>0.11241468100358422</v>
      </c>
      <c r="AO142" s="133">
        <f t="shared" si="87"/>
        <v>0.99523009368827497</v>
      </c>
      <c r="AP142" s="132">
        <f t="shared" si="71"/>
        <v>0.34635046232066552</v>
      </c>
      <c r="AQ142" s="137">
        <f t="shared" si="72"/>
        <v>0.87248589744900484</v>
      </c>
      <c r="AR142" s="137">
        <f t="shared" si="73"/>
        <v>3.815665897228613E-2</v>
      </c>
      <c r="AS142" s="1">
        <f t="shared" si="74"/>
        <v>5.9279999999999999E-2</v>
      </c>
      <c r="AT142" s="133">
        <f t="shared" si="88"/>
        <v>4.9600000000000005E-2</v>
      </c>
      <c r="AU142" s="132">
        <f t="shared" si="89"/>
        <v>3.9768846616370186</v>
      </c>
      <c r="AV142" s="1">
        <f t="shared" si="90"/>
        <v>90</v>
      </c>
      <c r="AW142" s="133">
        <f t="shared" si="91"/>
        <v>95.768231011321831</v>
      </c>
    </row>
    <row r="143" spans="17:49" x14ac:dyDescent="0.25">
      <c r="Q143">
        <v>136</v>
      </c>
      <c r="R143" s="132">
        <f t="shared" si="64"/>
        <v>18</v>
      </c>
      <c r="S143" s="1">
        <f t="shared" si="65"/>
        <v>5</v>
      </c>
      <c r="T143" s="1">
        <f t="shared" si="66"/>
        <v>12.406666666666666</v>
      </c>
      <c r="U143" s="133">
        <f t="shared" si="75"/>
        <v>7.2541644277270283</v>
      </c>
      <c r="V143" s="132">
        <f>IF(Calculations!$B$17=3,2,IF((S143*R143/T143)&lt;((T143*(1-(T143/R143)))/(2*Lm*fsw)),1,2))</f>
        <v>2</v>
      </c>
      <c r="W143" s="1">
        <f t="shared" si="76"/>
        <v>0.31074074074074076</v>
      </c>
      <c r="X143" s="133">
        <f t="shared" si="67"/>
        <v>0.68925925925925924</v>
      </c>
      <c r="Y143" s="132">
        <f t="shared" si="68"/>
        <v>1.5421027160493828</v>
      </c>
      <c r="Z143" s="1">
        <f t="shared" si="77"/>
        <v>8.025215785751719</v>
      </c>
      <c r="AA143" s="1">
        <f t="shared" si="78"/>
        <v>7.2678108769700458</v>
      </c>
      <c r="AB143" s="1">
        <v>0</v>
      </c>
      <c r="AC143" s="1">
        <f t="shared" si="79"/>
        <v>0.8715477365661678</v>
      </c>
      <c r="AD143" s="133">
        <f t="shared" si="80"/>
        <v>0.8715477365661678</v>
      </c>
      <c r="AE143" s="132">
        <f t="shared" si="92"/>
        <v>2.2541644277270287</v>
      </c>
      <c r="AF143" s="1">
        <f t="shared" si="81"/>
        <v>4.0513775379043073</v>
      </c>
      <c r="AG143" s="1">
        <f t="shared" si="69"/>
        <v>0.32827319909271135</v>
      </c>
      <c r="AH143" s="1">
        <f t="shared" si="82"/>
        <v>0.41405479076536</v>
      </c>
      <c r="AI143" s="133">
        <f t="shared" si="83"/>
        <v>0.74232798985807136</v>
      </c>
      <c r="AJ143" s="132">
        <f t="shared" si="84"/>
        <v>5</v>
      </c>
      <c r="AK143" s="1">
        <f t="shared" si="85"/>
        <v>6.0338557315176615</v>
      </c>
      <c r="AL143" s="1">
        <f t="shared" si="70"/>
        <v>0.72814829977537077</v>
      </c>
      <c r="AM143" s="1">
        <f t="shared" si="86"/>
        <v>0.15427500000000002</v>
      </c>
      <c r="AN143" s="136">
        <f t="shared" si="93"/>
        <v>0.11235302100052406</v>
      </c>
      <c r="AO143" s="133">
        <f t="shared" si="87"/>
        <v>0.99477632077589484</v>
      </c>
      <c r="AP143" s="132">
        <f t="shared" si="71"/>
        <v>0.34597804087929684</v>
      </c>
      <c r="AQ143" s="137">
        <f t="shared" si="72"/>
        <v>0.8715477365661678</v>
      </c>
      <c r="AR143" s="137">
        <f t="shared" si="73"/>
        <v>3.8099233938419262E-2</v>
      </c>
      <c r="AS143" s="1">
        <f t="shared" si="74"/>
        <v>5.9279999999999999E-2</v>
      </c>
      <c r="AT143" s="133">
        <f t="shared" si="88"/>
        <v>4.9626666666666666E-2</v>
      </c>
      <c r="AU143" s="132">
        <f t="shared" si="89"/>
        <v>3.9731837252506845</v>
      </c>
      <c r="AV143" s="1">
        <f t="shared" si="90"/>
        <v>90</v>
      </c>
      <c r="AW143" s="133">
        <f t="shared" si="91"/>
        <v>95.772002641873797</v>
      </c>
    </row>
    <row r="144" spans="17:49" x14ac:dyDescent="0.25">
      <c r="Q144">
        <v>137</v>
      </c>
      <c r="R144" s="132">
        <f t="shared" si="64"/>
        <v>18</v>
      </c>
      <c r="S144" s="1">
        <f t="shared" si="65"/>
        <v>5</v>
      </c>
      <c r="T144" s="1">
        <f t="shared" si="66"/>
        <v>12.413333333333334</v>
      </c>
      <c r="U144" s="133">
        <f t="shared" si="75"/>
        <v>7.2502685284640167</v>
      </c>
      <c r="V144" s="132">
        <f>IF(Calculations!$B$17=3,2,IF((S144*R144/T144)&lt;((T144*(1-(T144/R144)))/(2*Lm*fsw)),1,2))</f>
        <v>2</v>
      </c>
      <c r="W144" s="1">
        <f t="shared" si="76"/>
        <v>0.3103703703703703</v>
      </c>
      <c r="X144" s="133">
        <f t="shared" si="67"/>
        <v>0.6896296296296297</v>
      </c>
      <c r="Y144" s="132">
        <f t="shared" si="68"/>
        <v>1.541092345679012</v>
      </c>
      <c r="Z144" s="1">
        <f t="shared" si="77"/>
        <v>8.0208147013035234</v>
      </c>
      <c r="AA144" s="1">
        <f t="shared" si="78"/>
        <v>7.2639044278079758</v>
      </c>
      <c r="AB144" s="1">
        <v>0</v>
      </c>
      <c r="AC144" s="1">
        <f t="shared" si="79"/>
        <v>0.87061107434941731</v>
      </c>
      <c r="AD144" s="133">
        <f t="shared" si="80"/>
        <v>0.87061107434941731</v>
      </c>
      <c r="AE144" s="132">
        <f t="shared" si="92"/>
        <v>2.2502685284640167</v>
      </c>
      <c r="AF144" s="1">
        <f t="shared" si="81"/>
        <v>4.0467860917506302</v>
      </c>
      <c r="AG144" s="1">
        <f t="shared" si="69"/>
        <v>0.32752955344772683</v>
      </c>
      <c r="AH144" s="1">
        <f t="shared" si="82"/>
        <v>0.41383241977139357</v>
      </c>
      <c r="AI144" s="133">
        <f t="shared" si="83"/>
        <v>0.74136197321912034</v>
      </c>
      <c r="AJ144" s="132">
        <f t="shared" si="84"/>
        <v>5</v>
      </c>
      <c r="AK144" s="1">
        <f t="shared" si="85"/>
        <v>6.0322325770764165</v>
      </c>
      <c r="AL144" s="1">
        <f t="shared" si="70"/>
        <v>0.72775659727883979</v>
      </c>
      <c r="AM144" s="1">
        <f t="shared" si="86"/>
        <v>0.15427500000000002</v>
      </c>
      <c r="AN144" s="136">
        <f t="shared" si="93"/>
        <v>0.11229140581824933</v>
      </c>
      <c r="AO144" s="133">
        <f t="shared" si="87"/>
        <v>0.99432300309708921</v>
      </c>
      <c r="AP144" s="132">
        <f t="shared" si="71"/>
        <v>0.34560621436295047</v>
      </c>
      <c r="AQ144" s="137">
        <f t="shared" si="72"/>
        <v>0.87061107434941731</v>
      </c>
      <c r="AR144" s="137">
        <f t="shared" si="73"/>
        <v>3.8041745505946703E-2</v>
      </c>
      <c r="AS144" s="1">
        <f t="shared" si="74"/>
        <v>5.9279999999999999E-2</v>
      </c>
      <c r="AT144" s="133">
        <f t="shared" si="88"/>
        <v>4.9653333333333334E-2</v>
      </c>
      <c r="AU144" s="132">
        <f t="shared" si="89"/>
        <v>3.9694884182172752</v>
      </c>
      <c r="AV144" s="1">
        <f t="shared" si="90"/>
        <v>90</v>
      </c>
      <c r="AW144" s="133">
        <f t="shared" si="91"/>
        <v>95.77576883195232</v>
      </c>
    </row>
    <row r="145" spans="17:49" x14ac:dyDescent="0.25">
      <c r="Q145">
        <v>138</v>
      </c>
      <c r="R145" s="132">
        <f t="shared" si="64"/>
        <v>18</v>
      </c>
      <c r="S145" s="1">
        <f t="shared" si="65"/>
        <v>5</v>
      </c>
      <c r="T145" s="1">
        <f t="shared" si="66"/>
        <v>12.42</v>
      </c>
      <c r="U145" s="133">
        <f t="shared" si="75"/>
        <v>7.2463768115942031</v>
      </c>
      <c r="V145" s="132">
        <f>IF(Calculations!$B$17=3,2,IF((S145*R145/T145)&lt;((T145*(1-(T145/R145)))/(2*Lm*fsw)),1,2))</f>
        <v>2</v>
      </c>
      <c r="W145" s="1">
        <f t="shared" si="76"/>
        <v>0.31000000000000005</v>
      </c>
      <c r="X145" s="133">
        <f t="shared" si="67"/>
        <v>0.69</v>
      </c>
      <c r="Y145" s="132">
        <f t="shared" si="68"/>
        <v>1.5400800000000001</v>
      </c>
      <c r="Z145" s="1">
        <f t="shared" si="77"/>
        <v>8.0164168115942029</v>
      </c>
      <c r="AA145" s="1">
        <f t="shared" si="78"/>
        <v>7.2600021186505286</v>
      </c>
      <c r="AB145" s="1">
        <v>0</v>
      </c>
      <c r="AC145" s="1">
        <f t="shared" si="79"/>
        <v>0.8696759075863677</v>
      </c>
      <c r="AD145" s="133">
        <f t="shared" si="80"/>
        <v>0.8696759075863677</v>
      </c>
      <c r="AE145" s="132">
        <f t="shared" si="92"/>
        <v>2.2463768115942035</v>
      </c>
      <c r="AF145" s="1">
        <f t="shared" si="81"/>
        <v>4.0421981070292876</v>
      </c>
      <c r="AG145" s="1">
        <f t="shared" si="69"/>
        <v>0.32678731072942313</v>
      </c>
      <c r="AH145" s="1">
        <f t="shared" si="82"/>
        <v>0.41361028750098494</v>
      </c>
      <c r="AI145" s="133">
        <f t="shared" si="83"/>
        <v>0.74039759823040807</v>
      </c>
      <c r="AJ145" s="132">
        <f t="shared" si="84"/>
        <v>5</v>
      </c>
      <c r="AK145" s="1">
        <f t="shared" si="85"/>
        <v>6.0306106843618261</v>
      </c>
      <c r="AL145" s="1">
        <f t="shared" si="70"/>
        <v>0.72736530452678028</v>
      </c>
      <c r="AM145" s="1">
        <f t="shared" si="86"/>
        <v>0.15427500000000002</v>
      </c>
      <c r="AN145" s="136">
        <f t="shared" si="93"/>
        <v>0.11222983536231884</v>
      </c>
      <c r="AO145" s="133">
        <f t="shared" si="87"/>
        <v>0.99387013988909922</v>
      </c>
      <c r="AP145" s="132">
        <f t="shared" si="71"/>
        <v>0.34523498149640652</v>
      </c>
      <c r="AQ145" s="137">
        <f t="shared" si="72"/>
        <v>0.8696759075863677</v>
      </c>
      <c r="AR145" s="137">
        <f t="shared" si="73"/>
        <v>3.7984193953245454E-2</v>
      </c>
      <c r="AS145" s="1">
        <f t="shared" si="74"/>
        <v>5.9279999999999999E-2</v>
      </c>
      <c r="AT145" s="133">
        <f t="shared" si="88"/>
        <v>4.9680000000000002E-2</v>
      </c>
      <c r="AU145" s="132">
        <f t="shared" si="89"/>
        <v>3.9657987287418943</v>
      </c>
      <c r="AV145" s="1">
        <f t="shared" si="90"/>
        <v>90</v>
      </c>
      <c r="AW145" s="133">
        <f t="shared" si="91"/>
        <v>95.779529592261269</v>
      </c>
    </row>
    <row r="146" spans="17:49" x14ac:dyDescent="0.25">
      <c r="Q146">
        <v>139</v>
      </c>
      <c r="R146" s="132">
        <f t="shared" si="64"/>
        <v>18</v>
      </c>
      <c r="S146" s="1">
        <f t="shared" si="65"/>
        <v>5</v>
      </c>
      <c r="T146" s="1">
        <f t="shared" si="66"/>
        <v>12.426666666666666</v>
      </c>
      <c r="U146" s="133">
        <f t="shared" si="75"/>
        <v>7.2424892703862662</v>
      </c>
      <c r="V146" s="132">
        <f>IF(Calculations!$B$17=3,2,IF((S146*R146/T146)&lt;((T146*(1-(T146/R146)))/(2*Lm*fsw)),1,2))</f>
        <v>2</v>
      </c>
      <c r="W146" s="1">
        <f t="shared" si="76"/>
        <v>0.3096296296296297</v>
      </c>
      <c r="X146" s="133">
        <f t="shared" si="67"/>
        <v>0.6903703703703703</v>
      </c>
      <c r="Y146" s="132">
        <f t="shared" si="68"/>
        <v>1.539065679012346</v>
      </c>
      <c r="Z146" s="1">
        <f t="shared" si="77"/>
        <v>8.01202210989244</v>
      </c>
      <c r="AA146" s="1">
        <f t="shared" si="78"/>
        <v>7.2561039427978384</v>
      </c>
      <c r="AB146" s="1">
        <v>0</v>
      </c>
      <c r="AC146" s="1">
        <f t="shared" si="79"/>
        <v>0.86874223307332454</v>
      </c>
      <c r="AD146" s="133">
        <f t="shared" si="80"/>
        <v>0.86874223307332454</v>
      </c>
      <c r="AE146" s="132">
        <f t="shared" si="92"/>
        <v>2.2424892703862667</v>
      </c>
      <c r="AF146" s="1">
        <f t="shared" si="81"/>
        <v>4.0376135756245093</v>
      </c>
      <c r="AG146" s="1">
        <f t="shared" si="69"/>
        <v>0.32604646772134671</v>
      </c>
      <c r="AH146" s="1">
        <f t="shared" si="82"/>
        <v>0.41338839356992219</v>
      </c>
      <c r="AI146" s="133">
        <f t="shared" si="83"/>
        <v>0.7394348612912689</v>
      </c>
      <c r="AJ146" s="132">
        <f t="shared" si="84"/>
        <v>5</v>
      </c>
      <c r="AK146" s="1">
        <f t="shared" si="85"/>
        <v>6.0289900516271393</v>
      </c>
      <c r="AL146" s="1">
        <f t="shared" si="70"/>
        <v>0.7269744208523804</v>
      </c>
      <c r="AM146" s="1">
        <f t="shared" si="86"/>
        <v>0.15427500000000002</v>
      </c>
      <c r="AN146" s="136">
        <f t="shared" si="93"/>
        <v>0.11216830953849416</v>
      </c>
      <c r="AO146" s="133">
        <f t="shared" si="87"/>
        <v>0.99341773039087466</v>
      </c>
      <c r="AP146" s="132">
        <f t="shared" si="71"/>
        <v>0.34486434100789543</v>
      </c>
      <c r="AQ146" s="137">
        <f t="shared" si="72"/>
        <v>0.86874223307332454</v>
      </c>
      <c r="AR146" s="137">
        <f t="shared" si="73"/>
        <v>3.7926579559136288E-2</v>
      </c>
      <c r="AS146" s="1">
        <f t="shared" si="74"/>
        <v>5.9279999999999999E-2</v>
      </c>
      <c r="AT146" s="133">
        <f t="shared" si="88"/>
        <v>4.9706666666666663E-2</v>
      </c>
      <c r="AU146" s="132">
        <f t="shared" si="89"/>
        <v>3.9621146450624911</v>
      </c>
      <c r="AV146" s="1">
        <f t="shared" si="90"/>
        <v>90</v>
      </c>
      <c r="AW146" s="133">
        <f t="shared" si="91"/>
        <v>95.783284933476438</v>
      </c>
    </row>
    <row r="147" spans="17:49" x14ac:dyDescent="0.25">
      <c r="Q147">
        <v>140</v>
      </c>
      <c r="R147" s="132">
        <f t="shared" si="64"/>
        <v>18</v>
      </c>
      <c r="S147" s="1">
        <f t="shared" si="65"/>
        <v>5</v>
      </c>
      <c r="T147" s="1">
        <f t="shared" si="66"/>
        <v>12.433333333333334</v>
      </c>
      <c r="U147" s="133">
        <f t="shared" si="75"/>
        <v>7.2386058981233239</v>
      </c>
      <c r="V147" s="132">
        <f>IF(Calculations!$B$17=3,2,IF((S147*R147/T147)&lt;((T147*(1-(T147/R147)))/(2*Lm*fsw)),1,2))</f>
        <v>2</v>
      </c>
      <c r="W147" s="1">
        <f t="shared" si="76"/>
        <v>0.30925925925925923</v>
      </c>
      <c r="X147" s="133">
        <f t="shared" si="67"/>
        <v>0.69074074074074077</v>
      </c>
      <c r="Y147" s="132">
        <f t="shared" si="68"/>
        <v>1.5380493827160493</v>
      </c>
      <c r="Z147" s="1">
        <f t="shared" si="77"/>
        <v>8.007630589481348</v>
      </c>
      <c r="AA147" s="1">
        <f t="shared" si="78"/>
        <v>7.252209893564757</v>
      </c>
      <c r="AB147" s="1">
        <v>0</v>
      </c>
      <c r="AC147" s="1">
        <f t="shared" si="79"/>
        <v>0.86781004761525604</v>
      </c>
      <c r="AD147" s="133">
        <f t="shared" si="80"/>
        <v>0.86781004761525604</v>
      </c>
      <c r="AE147" s="132">
        <f t="shared" si="92"/>
        <v>2.2386058981233239</v>
      </c>
      <c r="AF147" s="1">
        <f t="shared" si="81"/>
        <v>4.0330324894305294</v>
      </c>
      <c r="AG147" s="1">
        <f t="shared" si="69"/>
        <v>0.32530702121604427</v>
      </c>
      <c r="AH147" s="1">
        <f t="shared" si="82"/>
        <v>0.41316673759481759</v>
      </c>
      <c r="AI147" s="133">
        <f t="shared" si="83"/>
        <v>0.73847375881086186</v>
      </c>
      <c r="AJ147" s="132">
        <f t="shared" si="84"/>
        <v>5</v>
      </c>
      <c r="AK147" s="1">
        <f t="shared" si="85"/>
        <v>6.0273706771291504</v>
      </c>
      <c r="AL147" s="1">
        <f t="shared" si="70"/>
        <v>0.72658394559032635</v>
      </c>
      <c r="AM147" s="1">
        <f t="shared" si="86"/>
        <v>0.15427500000000002</v>
      </c>
      <c r="AN147" s="136">
        <f t="shared" si="93"/>
        <v>0.11210682825273888</v>
      </c>
      <c r="AO147" s="133">
        <f t="shared" si="87"/>
        <v>0.99296577384306528</v>
      </c>
      <c r="AP147" s="132">
        <f t="shared" si="71"/>
        <v>0.34449429162908646</v>
      </c>
      <c r="AQ147" s="137">
        <f t="shared" si="72"/>
        <v>0.86781004761525604</v>
      </c>
      <c r="AR147" s="137">
        <f t="shared" si="73"/>
        <v>3.7868902602883024E-2</v>
      </c>
      <c r="AS147" s="1">
        <f t="shared" si="74"/>
        <v>5.9279999999999999E-2</v>
      </c>
      <c r="AT147" s="133">
        <f t="shared" si="88"/>
        <v>4.9733333333333338E-2</v>
      </c>
      <c r="AU147" s="132">
        <f t="shared" si="89"/>
        <v>3.9584361554497423</v>
      </c>
      <c r="AV147" s="1">
        <f t="shared" si="90"/>
        <v>90</v>
      </c>
      <c r="AW147" s="133">
        <f t="shared" si="91"/>
        <v>95.787034866245861</v>
      </c>
    </row>
    <row r="148" spans="17:49" x14ac:dyDescent="0.25">
      <c r="Q148">
        <v>141</v>
      </c>
      <c r="R148" s="132">
        <f t="shared" si="64"/>
        <v>18</v>
      </c>
      <c r="S148" s="1">
        <f t="shared" si="65"/>
        <v>5</v>
      </c>
      <c r="T148" s="1">
        <f t="shared" si="66"/>
        <v>12.44</v>
      </c>
      <c r="U148" s="133">
        <f t="shared" si="75"/>
        <v>7.234726688102894</v>
      </c>
      <c r="V148" s="132">
        <f>IF(Calculations!$B$17=3,2,IF((S148*R148/T148)&lt;((T148*(1-(T148/R148)))/(2*Lm*fsw)),1,2))</f>
        <v>2</v>
      </c>
      <c r="W148" s="1">
        <f t="shared" si="76"/>
        <v>0.30888888888888888</v>
      </c>
      <c r="X148" s="133">
        <f t="shared" si="67"/>
        <v>0.69111111111111112</v>
      </c>
      <c r="Y148" s="132">
        <f t="shared" si="68"/>
        <v>1.537031111111111</v>
      </c>
      <c r="Z148" s="1">
        <f t="shared" si="77"/>
        <v>8.0032422436584501</v>
      </c>
      <c r="AA148" s="1">
        <f t="shared" si="78"/>
        <v>7.2483199642808183</v>
      </c>
      <c r="AB148" s="1">
        <v>0</v>
      </c>
      <c r="AC148" s="1">
        <f t="shared" si="79"/>
        <v>0.86687934802576605</v>
      </c>
      <c r="AD148" s="133">
        <f t="shared" si="80"/>
        <v>0.86687934802576605</v>
      </c>
      <c r="AE148" s="132">
        <f t="shared" si="92"/>
        <v>2.234726688102894</v>
      </c>
      <c r="AF148" s="1">
        <f t="shared" si="81"/>
        <v>4.0284548403515359</v>
      </c>
      <c r="AG148" s="1">
        <f t="shared" si="69"/>
        <v>0.32456896801503443</v>
      </c>
      <c r="AH148" s="1">
        <f t="shared" si="82"/>
        <v>0.41294531919310556</v>
      </c>
      <c r="AI148" s="133">
        <f t="shared" si="83"/>
        <v>0.73751428720813994</v>
      </c>
      <c r="AJ148" s="132">
        <f t="shared" si="84"/>
        <v>5</v>
      </c>
      <c r="AK148" s="1">
        <f t="shared" si="85"/>
        <v>6.0257525591282111</v>
      </c>
      <c r="AL148" s="1">
        <f t="shared" si="70"/>
        <v>0.72619387807680369</v>
      </c>
      <c r="AM148" s="1">
        <f t="shared" si="86"/>
        <v>0.15427500000000002</v>
      </c>
      <c r="AN148" s="136">
        <f t="shared" si="93"/>
        <v>0.1120453914112183</v>
      </c>
      <c r="AO148" s="133">
        <f t="shared" si="87"/>
        <v>0.99251426948802202</v>
      </c>
      <c r="AP148" s="132">
        <f t="shared" si="71"/>
        <v>0.34412483209507677</v>
      </c>
      <c r="AQ148" s="137">
        <f t="shared" si="72"/>
        <v>0.86687934802576605</v>
      </c>
      <c r="AR148" s="137">
        <f t="shared" si="73"/>
        <v>3.7811163364191887E-2</v>
      </c>
      <c r="AS148" s="1">
        <f t="shared" si="74"/>
        <v>5.9279999999999999E-2</v>
      </c>
      <c r="AT148" s="133">
        <f t="shared" si="88"/>
        <v>4.9759999999999999E-2</v>
      </c>
      <c r="AU148" s="132">
        <f t="shared" si="89"/>
        <v>3.9547632482069628</v>
      </c>
      <c r="AV148" s="1">
        <f t="shared" si="90"/>
        <v>90</v>
      </c>
      <c r="AW148" s="133">
        <f t="shared" si="91"/>
        <v>95.790779401189724</v>
      </c>
    </row>
    <row r="149" spans="17:49" x14ac:dyDescent="0.25">
      <c r="Q149">
        <v>142</v>
      </c>
      <c r="R149" s="132">
        <f t="shared" si="64"/>
        <v>18</v>
      </c>
      <c r="S149" s="1">
        <f t="shared" si="65"/>
        <v>5</v>
      </c>
      <c r="T149" s="1">
        <f t="shared" si="66"/>
        <v>12.446666666666667</v>
      </c>
      <c r="U149" s="133">
        <f t="shared" si="75"/>
        <v>7.23085163363685</v>
      </c>
      <c r="V149" s="132">
        <f>IF(Calculations!$B$17=3,2,IF((S149*R149/T149)&lt;((T149*(1-(T149/R149)))/(2*Lm*fsw)),1,2))</f>
        <v>2</v>
      </c>
      <c r="W149" s="1">
        <f t="shared" si="76"/>
        <v>0.30851851851851853</v>
      </c>
      <c r="X149" s="133">
        <f t="shared" si="67"/>
        <v>0.69148148148148147</v>
      </c>
      <c r="Y149" s="132">
        <f t="shared" si="68"/>
        <v>1.536010864197531</v>
      </c>
      <c r="Z149" s="1">
        <f t="shared" si="77"/>
        <v>7.9988570657356153</v>
      </c>
      <c r="AA149" s="1">
        <f t="shared" si="78"/>
        <v>7.2444341482901962</v>
      </c>
      <c r="AB149" s="1">
        <v>0</v>
      </c>
      <c r="AC149" s="1">
        <f t="shared" si="79"/>
        <v>0.8659501311270662</v>
      </c>
      <c r="AD149" s="133">
        <f t="shared" si="80"/>
        <v>0.8659501311270662</v>
      </c>
      <c r="AE149" s="132">
        <f t="shared" si="92"/>
        <v>2.2308516336368505</v>
      </c>
      <c r="AF149" s="1">
        <f t="shared" si="81"/>
        <v>4.0238806203015951</v>
      </c>
      <c r="AG149" s="1">
        <f t="shared" si="69"/>
        <v>0.32383230492877502</v>
      </c>
      <c r="AH149" s="1">
        <f t="shared" si="82"/>
        <v>0.41272413798303959</v>
      </c>
      <c r="AI149" s="133">
        <f t="shared" si="83"/>
        <v>0.73655644291181455</v>
      </c>
      <c r="AJ149" s="132">
        <f t="shared" si="84"/>
        <v>5</v>
      </c>
      <c r="AK149" s="1">
        <f t="shared" si="85"/>
        <v>6.0241356958881953</v>
      </c>
      <c r="AL149" s="1">
        <f t="shared" si="70"/>
        <v>0.72580421764948699</v>
      </c>
      <c r="AM149" s="1">
        <f t="shared" si="86"/>
        <v>0.15427500000000002</v>
      </c>
      <c r="AN149" s="136">
        <f t="shared" si="93"/>
        <v>0.11198399892029862</v>
      </c>
      <c r="AO149" s="133">
        <f t="shared" si="87"/>
        <v>0.99206321656978569</v>
      </c>
      <c r="AP149" s="132">
        <f t="shared" si="71"/>
        <v>0.34375596114438078</v>
      </c>
      <c r="AQ149" s="137">
        <f t="shared" si="72"/>
        <v>0.8659501311270662</v>
      </c>
      <c r="AR149" s="137">
        <f t="shared" si="73"/>
        <v>3.7753362123211107E-2</v>
      </c>
      <c r="AS149" s="1">
        <f t="shared" si="74"/>
        <v>5.9279999999999999E-2</v>
      </c>
      <c r="AT149" s="133">
        <f t="shared" si="88"/>
        <v>4.9786666666666667E-2</v>
      </c>
      <c r="AU149" s="132">
        <f t="shared" si="89"/>
        <v>3.9510959116699915</v>
      </c>
      <c r="AV149" s="1">
        <f t="shared" si="90"/>
        <v>90</v>
      </c>
      <c r="AW149" s="133">
        <f t="shared" si="91"/>
        <v>95.794518548900484</v>
      </c>
    </row>
    <row r="150" spans="17:49" x14ac:dyDescent="0.25">
      <c r="Q150">
        <v>143</v>
      </c>
      <c r="R150" s="132">
        <f t="shared" si="64"/>
        <v>18</v>
      </c>
      <c r="S150" s="1">
        <f t="shared" si="65"/>
        <v>5</v>
      </c>
      <c r="T150" s="1">
        <f t="shared" si="66"/>
        <v>12.453333333333333</v>
      </c>
      <c r="U150" s="133">
        <f t="shared" si="75"/>
        <v>7.2269807280513918</v>
      </c>
      <c r="V150" s="132">
        <f>IF(Calculations!$B$17=3,2,IF((S150*R150/T150)&lt;((T150*(1-(T150/R150)))/(2*Lm*fsw)),1,2))</f>
        <v>2</v>
      </c>
      <c r="W150" s="1">
        <f t="shared" si="76"/>
        <v>0.30814814814814817</v>
      </c>
      <c r="X150" s="133">
        <f t="shared" si="67"/>
        <v>0.69185185185185183</v>
      </c>
      <c r="Y150" s="132">
        <f t="shared" si="68"/>
        <v>1.5349886419753087</v>
      </c>
      <c r="Z150" s="1">
        <f t="shared" si="77"/>
        <v>7.9944750490390462</v>
      </c>
      <c r="AA150" s="1">
        <f t="shared" si="78"/>
        <v>7.2405524389516716</v>
      </c>
      <c r="AB150" s="1">
        <v>0</v>
      </c>
      <c r="AC150" s="1">
        <f t="shared" si="79"/>
        <v>0.8650223937499486</v>
      </c>
      <c r="AD150" s="133">
        <f t="shared" si="80"/>
        <v>0.8650223937499486</v>
      </c>
      <c r="AE150" s="132">
        <f t="shared" si="92"/>
        <v>2.2269807280513918</v>
      </c>
      <c r="AF150" s="1">
        <f t="shared" si="81"/>
        <v>4.0193098212046072</v>
      </c>
      <c r="AG150" s="1">
        <f t="shared" si="69"/>
        <v>0.32309702877663626</v>
      </c>
      <c r="AH150" s="1">
        <f t="shared" si="82"/>
        <v>0.41250319358369103</v>
      </c>
      <c r="AI150" s="133">
        <f t="shared" si="83"/>
        <v>0.73560022236032729</v>
      </c>
      <c r="AJ150" s="132">
        <f t="shared" si="84"/>
        <v>5</v>
      </c>
      <c r="AK150" s="1">
        <f t="shared" si="85"/>
        <v>6.0225200856765255</v>
      </c>
      <c r="AL150" s="1">
        <f t="shared" si="70"/>
        <v>0.72541496364754365</v>
      </c>
      <c r="AM150" s="1">
        <f t="shared" si="86"/>
        <v>0.15427500000000002</v>
      </c>
      <c r="AN150" s="136">
        <f t="shared" si="93"/>
        <v>0.11192265068654665</v>
      </c>
      <c r="AO150" s="133">
        <f t="shared" si="87"/>
        <v>0.99161261433409031</v>
      </c>
      <c r="AP150" s="132">
        <f t="shared" si="71"/>
        <v>0.34338767751891891</v>
      </c>
      <c r="AQ150" s="137">
        <f t="shared" si="72"/>
        <v>0.8650223937499486</v>
      </c>
      <c r="AR150" s="137">
        <f t="shared" si="73"/>
        <v>3.7695499160529701E-2</v>
      </c>
      <c r="AS150" s="1">
        <f t="shared" si="74"/>
        <v>5.9279999999999999E-2</v>
      </c>
      <c r="AT150" s="133">
        <f t="shared" si="88"/>
        <v>4.9813333333333334E-2</v>
      </c>
      <c r="AU150" s="132">
        <f t="shared" si="89"/>
        <v>3.9474341342070969</v>
      </c>
      <c r="AV150" s="1">
        <f t="shared" si="90"/>
        <v>90</v>
      </c>
      <c r="AW150" s="133">
        <f t="shared" si="91"/>
        <v>95.798252319943018</v>
      </c>
    </row>
    <row r="151" spans="17:49" x14ac:dyDescent="0.25">
      <c r="Q151">
        <v>144</v>
      </c>
      <c r="R151" s="132">
        <f t="shared" si="64"/>
        <v>18</v>
      </c>
      <c r="S151" s="1">
        <f t="shared" si="65"/>
        <v>5</v>
      </c>
      <c r="T151" s="1">
        <f t="shared" si="66"/>
        <v>12.46</v>
      </c>
      <c r="U151" s="133">
        <f t="shared" si="75"/>
        <v>7.2231139646869975</v>
      </c>
      <c r="V151" s="132">
        <f>IF(Calculations!$B$17=3,2,IF((S151*R151/T151)&lt;((T151*(1-(T151/R151)))/(2*Lm*fsw)),1,2))</f>
        <v>2</v>
      </c>
      <c r="W151" s="1">
        <f t="shared" si="76"/>
        <v>0.30777777777777771</v>
      </c>
      <c r="X151" s="133">
        <f t="shared" si="67"/>
        <v>0.69222222222222229</v>
      </c>
      <c r="Y151" s="132">
        <f t="shared" si="68"/>
        <v>1.5339644444444442</v>
      </c>
      <c r="Z151" s="1">
        <f t="shared" si="77"/>
        <v>7.99009618690922</v>
      </c>
      <c r="AA151" s="1">
        <f t="shared" si="78"/>
        <v>7.2366748296385843</v>
      </c>
      <c r="AB151" s="1">
        <v>0</v>
      </c>
      <c r="AC151" s="1">
        <f t="shared" si="79"/>
        <v>0.86409613273375641</v>
      </c>
      <c r="AD151" s="133">
        <f t="shared" si="80"/>
        <v>0.86409613273375641</v>
      </c>
      <c r="AE151" s="132">
        <f t="shared" si="92"/>
        <v>2.2231139646869975</v>
      </c>
      <c r="AF151" s="1">
        <f t="shared" si="81"/>
        <v>4.0147424349942389</v>
      </c>
      <c r="AG151" s="1">
        <f t="shared" si="69"/>
        <v>0.32236313638686948</v>
      </c>
      <c r="AH151" s="1">
        <f t="shared" si="82"/>
        <v>0.4122824856149464</v>
      </c>
      <c r="AI151" s="133">
        <f t="shared" si="83"/>
        <v>0.73464562200181582</v>
      </c>
      <c r="AJ151" s="132">
        <f t="shared" si="84"/>
        <v>5</v>
      </c>
      <c r="AK151" s="1">
        <f t="shared" si="85"/>
        <v>6.0209057267641359</v>
      </c>
      <c r="AL151" s="1">
        <f t="shared" si="70"/>
        <v>0.72502611541162343</v>
      </c>
      <c r="AM151" s="1">
        <f t="shared" si="86"/>
        <v>0.15427500000000002</v>
      </c>
      <c r="AN151" s="136">
        <f t="shared" si="93"/>
        <v>0.11186134661672908</v>
      </c>
      <c r="AO151" s="133">
        <f t="shared" si="87"/>
        <v>0.99116246202835256</v>
      </c>
      <c r="AP151" s="132">
        <f t="shared" si="71"/>
        <v>0.34301997996400629</v>
      </c>
      <c r="AQ151" s="137">
        <f t="shared" si="72"/>
        <v>0.86409613273375641</v>
      </c>
      <c r="AR151" s="137">
        <f t="shared" si="73"/>
        <v>3.7637574757177522E-2</v>
      </c>
      <c r="AS151" s="1">
        <f t="shared" si="74"/>
        <v>5.9279999999999999E-2</v>
      </c>
      <c r="AT151" s="133">
        <f t="shared" si="88"/>
        <v>4.9840000000000002E-2</v>
      </c>
      <c r="AU151" s="132">
        <f t="shared" si="89"/>
        <v>3.943777904218865</v>
      </c>
      <c r="AV151" s="1">
        <f t="shared" si="90"/>
        <v>90</v>
      </c>
      <c r="AW151" s="133">
        <f t="shared" si="91"/>
        <v>95.80198072485463</v>
      </c>
    </row>
    <row r="152" spans="17:49" x14ac:dyDescent="0.25">
      <c r="Q152">
        <v>145</v>
      </c>
      <c r="R152" s="132">
        <f t="shared" si="64"/>
        <v>18</v>
      </c>
      <c r="S152" s="1">
        <f t="shared" si="65"/>
        <v>5</v>
      </c>
      <c r="T152" s="1">
        <f t="shared" si="66"/>
        <v>12.466666666666667</v>
      </c>
      <c r="U152" s="133">
        <f t="shared" si="75"/>
        <v>7.2192513368983953</v>
      </c>
      <c r="V152" s="132">
        <f>IF(Calculations!$B$17=3,2,IF((S152*R152/T152)&lt;((T152*(1-(T152/R152)))/(2*Lm*fsw)),1,2))</f>
        <v>2</v>
      </c>
      <c r="W152" s="1">
        <f t="shared" si="76"/>
        <v>0.30740740740740735</v>
      </c>
      <c r="X152" s="133">
        <f t="shared" si="67"/>
        <v>0.69259259259259265</v>
      </c>
      <c r="Y152" s="132">
        <f t="shared" si="68"/>
        <v>1.532938271604938</v>
      </c>
      <c r="Z152" s="1">
        <f t="shared" si="77"/>
        <v>7.9857204727008639</v>
      </c>
      <c r="AA152" s="1">
        <f t="shared" si="78"/>
        <v>7.2328013137388103</v>
      </c>
      <c r="AB152" s="1">
        <v>0</v>
      </c>
      <c r="AC152" s="1">
        <f t="shared" si="79"/>
        <v>0.86317134492636072</v>
      </c>
      <c r="AD152" s="133">
        <f t="shared" si="80"/>
        <v>0.86317134492636072</v>
      </c>
      <c r="AE152" s="132">
        <f t="shared" si="92"/>
        <v>2.2192513368983953</v>
      </c>
      <c r="AF152" s="1">
        <f t="shared" si="81"/>
        <v>4.0101784536138716</v>
      </c>
      <c r="AG152" s="1">
        <f t="shared" si="69"/>
        <v>0.32163062459657887</v>
      </c>
      <c r="AH152" s="1">
        <f t="shared" si="82"/>
        <v>0.41206201369750528</v>
      </c>
      <c r="AI152" s="133">
        <f t="shared" si="83"/>
        <v>0.73369263829408415</v>
      </c>
      <c r="AJ152" s="132">
        <f t="shared" si="84"/>
        <v>5</v>
      </c>
      <c r="AK152" s="1">
        <f t="shared" si="85"/>
        <v>6.0192926174254824</v>
      </c>
      <c r="AL152" s="1">
        <f t="shared" si="70"/>
        <v>0.72463767228385834</v>
      </c>
      <c r="AM152" s="1">
        <f t="shared" si="86"/>
        <v>0.15427500000000002</v>
      </c>
      <c r="AN152" s="136">
        <f t="shared" si="93"/>
        <v>0.1118000866178121</v>
      </c>
      <c r="AO152" s="133">
        <f t="shared" si="87"/>
        <v>0.99071275890167043</v>
      </c>
      <c r="AP152" s="132">
        <f t="shared" si="71"/>
        <v>0.34265286722834315</v>
      </c>
      <c r="AQ152" s="137">
        <f t="shared" si="72"/>
        <v>0.86317134492636072</v>
      </c>
      <c r="AR152" s="137">
        <f t="shared" si="73"/>
        <v>3.7579589194623744E-2</v>
      </c>
      <c r="AS152" s="1">
        <f t="shared" si="74"/>
        <v>5.9279999999999999E-2</v>
      </c>
      <c r="AT152" s="133">
        <f t="shared" si="88"/>
        <v>4.986666666666667E-2</v>
      </c>
      <c r="AU152" s="132">
        <f t="shared" si="89"/>
        <v>3.9401272101381091</v>
      </c>
      <c r="AV152" s="1">
        <f t="shared" si="90"/>
        <v>90</v>
      </c>
      <c r="AW152" s="133">
        <f t="shared" si="91"/>
        <v>95.805703774145101</v>
      </c>
    </row>
    <row r="153" spans="17:49" x14ac:dyDescent="0.25">
      <c r="Q153">
        <v>146</v>
      </c>
      <c r="R153" s="132">
        <f t="shared" si="64"/>
        <v>18</v>
      </c>
      <c r="S153" s="1">
        <f t="shared" si="65"/>
        <v>5</v>
      </c>
      <c r="T153" s="1">
        <f t="shared" si="66"/>
        <v>12.473333333333333</v>
      </c>
      <c r="U153" s="133">
        <f t="shared" si="75"/>
        <v>7.2153928380545169</v>
      </c>
      <c r="V153" s="132">
        <f>IF(Calculations!$B$17=3,2,IF((S153*R153/T153)&lt;((T153*(1-(T153/R153)))/(2*Lm*fsw)),1,2))</f>
        <v>2</v>
      </c>
      <c r="W153" s="1">
        <f t="shared" si="76"/>
        <v>0.30703703703703711</v>
      </c>
      <c r="X153" s="133">
        <f t="shared" si="67"/>
        <v>0.69296296296296289</v>
      </c>
      <c r="Y153" s="132">
        <f t="shared" si="68"/>
        <v>1.5319101234567905</v>
      </c>
      <c r="Z153" s="1">
        <f t="shared" si="77"/>
        <v>7.9813478997829126</v>
      </c>
      <c r="AA153" s="1">
        <f t="shared" si="78"/>
        <v>7.2289318846547124</v>
      </c>
      <c r="AB153" s="1">
        <v>0</v>
      </c>
      <c r="AC153" s="1">
        <f t="shared" si="79"/>
        <v>0.8622480271841293</v>
      </c>
      <c r="AD153" s="133">
        <f t="shared" si="80"/>
        <v>0.8622480271841293</v>
      </c>
      <c r="AE153" s="132">
        <f t="shared" si="92"/>
        <v>2.2153928380545169</v>
      </c>
      <c r="AF153" s="1">
        <f t="shared" si="81"/>
        <v>4.0056178690165378</v>
      </c>
      <c r="AG153" s="1">
        <f t="shared" si="69"/>
        <v>0.32089949025169179</v>
      </c>
      <c r="AH153" s="1">
        <f t="shared" si="82"/>
        <v>0.41184177745287814</v>
      </c>
      <c r="AI153" s="133">
        <f t="shared" si="83"/>
        <v>0.73274126770456993</v>
      </c>
      <c r="AJ153" s="132">
        <f t="shared" si="84"/>
        <v>5</v>
      </c>
      <c r="AK153" s="1">
        <f t="shared" si="85"/>
        <v>6.0176807559385326</v>
      </c>
      <c r="AL153" s="1">
        <f t="shared" si="70"/>
        <v>0.72424963360785899</v>
      </c>
      <c r="AM153" s="1">
        <f t="shared" si="86"/>
        <v>0.15427500000000002</v>
      </c>
      <c r="AN153" s="136">
        <f t="shared" si="93"/>
        <v>0.11173887059696078</v>
      </c>
      <c r="AO153" s="133">
        <f t="shared" si="87"/>
        <v>0.99026350420481979</v>
      </c>
      <c r="AP153" s="132">
        <f t="shared" si="71"/>
        <v>0.34228633806400277</v>
      </c>
      <c r="AQ153" s="137">
        <f t="shared" si="72"/>
        <v>0.8622480271841293</v>
      </c>
      <c r="AR153" s="137">
        <f t="shared" si="73"/>
        <v>3.7521542754777128E-2</v>
      </c>
      <c r="AS153" s="1">
        <f t="shared" si="74"/>
        <v>5.9279999999999999E-2</v>
      </c>
      <c r="AT153" s="133">
        <f t="shared" si="88"/>
        <v>4.9893333333333331E-2</v>
      </c>
      <c r="AU153" s="132">
        <f t="shared" si="89"/>
        <v>3.9364820404297611</v>
      </c>
      <c r="AV153" s="1">
        <f t="shared" si="90"/>
        <v>90</v>
      </c>
      <c r="AW153" s="133">
        <f t="shared" si="91"/>
        <v>95.809421478296869</v>
      </c>
    </row>
    <row r="154" spans="17:49" x14ac:dyDescent="0.25">
      <c r="Q154">
        <v>147</v>
      </c>
      <c r="R154" s="132">
        <f t="shared" si="64"/>
        <v>18</v>
      </c>
      <c r="S154" s="1">
        <f t="shared" si="65"/>
        <v>5</v>
      </c>
      <c r="T154" s="1">
        <f t="shared" si="66"/>
        <v>12.48</v>
      </c>
      <c r="U154" s="133">
        <f t="shared" si="75"/>
        <v>7.2115384615384617</v>
      </c>
      <c r="V154" s="132">
        <f>IF(Calculations!$B$17=3,2,IF((S154*R154/T154)&lt;((T154*(1-(T154/R154)))/(2*Lm*fsw)),1,2))</f>
        <v>2</v>
      </c>
      <c r="W154" s="1">
        <f t="shared" si="76"/>
        <v>0.30666666666666664</v>
      </c>
      <c r="X154" s="133">
        <f t="shared" si="67"/>
        <v>0.69333333333333336</v>
      </c>
      <c r="Y154" s="132">
        <f t="shared" si="68"/>
        <v>1.53088</v>
      </c>
      <c r="Z154" s="1">
        <f t="shared" si="77"/>
        <v>7.9769784615384616</v>
      </c>
      <c r="AA154" s="1">
        <f t="shared" si="78"/>
        <v>7.2250665358031032</v>
      </c>
      <c r="AB154" s="1">
        <v>0</v>
      </c>
      <c r="AC154" s="1">
        <f t="shared" si="79"/>
        <v>0.86132617637190056</v>
      </c>
      <c r="AD154" s="133">
        <f t="shared" si="80"/>
        <v>0.86132617637190056</v>
      </c>
      <c r="AE154" s="132">
        <f t="shared" si="92"/>
        <v>2.2115384615384612</v>
      </c>
      <c r="AF154" s="1">
        <f t="shared" si="81"/>
        <v>4.0010606731648597</v>
      </c>
      <c r="AG154" s="1">
        <f t="shared" si="69"/>
        <v>0.32016973020692879</v>
      </c>
      <c r="AH154" s="1">
        <f t="shared" si="82"/>
        <v>0.41162177650338405</v>
      </c>
      <c r="AI154" s="133">
        <f t="shared" si="83"/>
        <v>0.7317915067103129</v>
      </c>
      <c r="AJ154" s="132">
        <f t="shared" si="84"/>
        <v>5</v>
      </c>
      <c r="AK154" s="1">
        <f t="shared" si="85"/>
        <v>6.016070140584751</v>
      </c>
      <c r="AL154" s="1">
        <f t="shared" si="70"/>
        <v>0.72386199872870849</v>
      </c>
      <c r="AM154" s="1">
        <f t="shared" si="86"/>
        <v>0.15427500000000002</v>
      </c>
      <c r="AN154" s="136">
        <f t="shared" si="93"/>
        <v>0.11167769846153847</v>
      </c>
      <c r="AO154" s="133">
        <f t="shared" si="87"/>
        <v>0.98981469719024706</v>
      </c>
      <c r="AP154" s="132">
        <f t="shared" si="71"/>
        <v>0.34192039122642109</v>
      </c>
      <c r="AQ154" s="137">
        <f t="shared" si="72"/>
        <v>0.86132617637190056</v>
      </c>
      <c r="AR154" s="137">
        <f t="shared" si="73"/>
        <v>3.7463435719984527E-2</v>
      </c>
      <c r="AS154" s="1">
        <f t="shared" si="74"/>
        <v>5.9279999999999999E-2</v>
      </c>
      <c r="AT154" s="133">
        <f t="shared" si="88"/>
        <v>4.9920000000000006E-2</v>
      </c>
      <c r="AU154" s="132">
        <f t="shared" si="89"/>
        <v>3.9328423835907667</v>
      </c>
      <c r="AV154" s="1">
        <f t="shared" si="90"/>
        <v>90</v>
      </c>
      <c r="AW154" s="133">
        <f t="shared" si="91"/>
        <v>95.813133847765059</v>
      </c>
    </row>
    <row r="155" spans="17:49" x14ac:dyDescent="0.25">
      <c r="Q155">
        <v>148</v>
      </c>
      <c r="R155" s="132">
        <f t="shared" si="64"/>
        <v>18</v>
      </c>
      <c r="S155" s="1">
        <f t="shared" si="65"/>
        <v>5</v>
      </c>
      <c r="T155" s="1">
        <f t="shared" si="66"/>
        <v>12.486666666666666</v>
      </c>
      <c r="U155" s="133">
        <f t="shared" si="75"/>
        <v>7.2076882007474641</v>
      </c>
      <c r="V155" s="132">
        <f>IF(Calculations!$B$17=3,2,IF((S155*R155/T155)&lt;((T155*(1-(T155/R155)))/(2*Lm*fsw)),1,2))</f>
        <v>2</v>
      </c>
      <c r="W155" s="1">
        <f t="shared" si="76"/>
        <v>0.30629629629629629</v>
      </c>
      <c r="X155" s="133">
        <f t="shared" si="67"/>
        <v>0.69370370370370371</v>
      </c>
      <c r="Y155" s="132">
        <f t="shared" si="68"/>
        <v>1.5298479012345678</v>
      </c>
      <c r="Z155" s="1">
        <f t="shared" si="77"/>
        <v>7.9726121513647481</v>
      </c>
      <c r="AA155" s="1">
        <f t="shared" si="78"/>
        <v>7.2212052606152159</v>
      </c>
      <c r="AB155" s="1">
        <v>0</v>
      </c>
      <c r="AC155" s="1">
        <f t="shared" si="79"/>
        <v>0.86040578936295842</v>
      </c>
      <c r="AD155" s="133">
        <f t="shared" si="80"/>
        <v>0.86040578936295842</v>
      </c>
      <c r="AE155" s="132">
        <f t="shared" si="92"/>
        <v>2.2076882007474641</v>
      </c>
      <c r="AF155" s="1">
        <f t="shared" si="81"/>
        <v>3.9965068580309993</v>
      </c>
      <c r="AG155" s="1">
        <f t="shared" si="69"/>
        <v>0.31944134132577623</v>
      </c>
      <c r="AH155" s="1">
        <f t="shared" si="82"/>
        <v>0.41140201047214892</v>
      </c>
      <c r="AI155" s="133">
        <f t="shared" si="83"/>
        <v>0.73084335179792514</v>
      </c>
      <c r="AJ155" s="132">
        <f t="shared" si="84"/>
        <v>5</v>
      </c>
      <c r="AK155" s="1">
        <f t="shared" si="85"/>
        <v>6.0144607696491006</v>
      </c>
      <c r="AL155" s="1">
        <f t="shared" si="70"/>
        <v>0.72347476699296109</v>
      </c>
      <c r="AM155" s="1">
        <f t="shared" si="86"/>
        <v>0.15427500000000002</v>
      </c>
      <c r="AN155" s="136">
        <f t="shared" si="93"/>
        <v>0.11161657011910647</v>
      </c>
      <c r="AO155" s="133">
        <f t="shared" si="87"/>
        <v>0.98936633711206756</v>
      </c>
      <c r="AP155" s="132">
        <f t="shared" si="71"/>
        <v>0.34155502547438649</v>
      </c>
      <c r="AQ155" s="137">
        <f t="shared" si="72"/>
        <v>0.86040578936295842</v>
      </c>
      <c r="AR155" s="137">
        <f t="shared" si="73"/>
        <v>3.7405268373030862E-2</v>
      </c>
      <c r="AS155" s="1">
        <f t="shared" si="74"/>
        <v>5.9279999999999999E-2</v>
      </c>
      <c r="AT155" s="133">
        <f t="shared" si="88"/>
        <v>4.9946666666666667E-2</v>
      </c>
      <c r="AU155" s="132">
        <f t="shared" si="89"/>
        <v>3.929208228149994</v>
      </c>
      <c r="AV155" s="1">
        <f t="shared" si="90"/>
        <v>90</v>
      </c>
      <c r="AW155" s="133">
        <f t="shared" si="91"/>
        <v>95.816840892977496</v>
      </c>
    </row>
    <row r="156" spans="17:49" x14ac:dyDescent="0.25">
      <c r="Q156">
        <v>149</v>
      </c>
      <c r="R156" s="132">
        <f t="shared" si="64"/>
        <v>18</v>
      </c>
      <c r="S156" s="1">
        <f t="shared" si="65"/>
        <v>5</v>
      </c>
      <c r="T156" s="1">
        <f t="shared" si="66"/>
        <v>12.493333333333334</v>
      </c>
      <c r="U156" s="133">
        <f t="shared" si="75"/>
        <v>7.2038420490928488</v>
      </c>
      <c r="V156" s="132">
        <f>IF(Calculations!$B$17=3,2,IF((S156*R156/T156)&lt;((T156*(1-(T156/R156)))/(2*Lm*fsw)),1,2))</f>
        <v>2</v>
      </c>
      <c r="W156" s="1">
        <f t="shared" si="76"/>
        <v>0.30592592592592593</v>
      </c>
      <c r="X156" s="133">
        <f t="shared" si="67"/>
        <v>0.69407407407407407</v>
      </c>
      <c r="Y156" s="132">
        <f t="shared" si="68"/>
        <v>1.5288138271604939</v>
      </c>
      <c r="Z156" s="1">
        <f t="shared" si="77"/>
        <v>7.9682489626730959</v>
      </c>
      <c r="AA156" s="1">
        <f t="shared" si="78"/>
        <v>7.2173480525366571</v>
      </c>
      <c r="AB156" s="1">
        <v>0</v>
      </c>
      <c r="AC156" s="1">
        <f t="shared" si="79"/>
        <v>0.85948686303900212</v>
      </c>
      <c r="AD156" s="133">
        <f t="shared" si="80"/>
        <v>0.85948686303900212</v>
      </c>
      <c r="AE156" s="132">
        <f t="shared" si="92"/>
        <v>2.2038420490928492</v>
      </c>
      <c r="AF156" s="1">
        <f t="shared" si="81"/>
        <v>3.9919564155965936</v>
      </c>
      <c r="AG156" s="1">
        <f t="shared" si="69"/>
        <v>0.31871432048045611</v>
      </c>
      <c r="AH156" s="1">
        <f t="shared" si="82"/>
        <v>0.41118247898310295</v>
      </c>
      <c r="AI156" s="133">
        <f t="shared" si="83"/>
        <v>0.72989679946355901</v>
      </c>
      <c r="AJ156" s="132">
        <f t="shared" si="84"/>
        <v>4.9999999999999991</v>
      </c>
      <c r="AK156" s="1">
        <f t="shared" si="85"/>
        <v>6.0128526414200341</v>
      </c>
      <c r="AL156" s="1">
        <f t="shared" si="70"/>
        <v>0.72308793774863755</v>
      </c>
      <c r="AM156" s="1">
        <f t="shared" si="86"/>
        <v>0.15427500000000002</v>
      </c>
      <c r="AN156" s="136">
        <f t="shared" si="93"/>
        <v>0.11155548547742335</v>
      </c>
      <c r="AO156" s="133">
        <f t="shared" si="87"/>
        <v>0.98891842322606094</v>
      </c>
      <c r="AP156" s="132">
        <f t="shared" si="71"/>
        <v>0.34119023957002809</v>
      </c>
      <c r="AQ156" s="137">
        <f t="shared" si="72"/>
        <v>0.85948686303900212</v>
      </c>
      <c r="AR156" s="137">
        <f t="shared" si="73"/>
        <v>3.7347040997137884E-2</v>
      </c>
      <c r="AS156" s="1">
        <f t="shared" si="74"/>
        <v>5.9279999999999999E-2</v>
      </c>
      <c r="AT156" s="133">
        <f t="shared" si="88"/>
        <v>4.9973333333333335E-2</v>
      </c>
      <c r="AU156" s="132">
        <f t="shared" si="89"/>
        <v>3.9255795626681227</v>
      </c>
      <c r="AV156" s="1">
        <f t="shared" si="90"/>
        <v>90</v>
      </c>
      <c r="AW156" s="133">
        <f t="shared" si="91"/>
        <v>95.820542624334905</v>
      </c>
    </row>
    <row r="157" spans="17:49" ht="15.75" thickBot="1" x14ac:dyDescent="0.3">
      <c r="Q157">
        <v>150</v>
      </c>
      <c r="R157" s="138">
        <f t="shared" si="64"/>
        <v>18</v>
      </c>
      <c r="S157" s="1">
        <f t="shared" si="65"/>
        <v>5</v>
      </c>
      <c r="T157" s="1">
        <f t="shared" si="66"/>
        <v>12.5</v>
      </c>
      <c r="U157" s="140">
        <f t="shared" si="75"/>
        <v>7.2</v>
      </c>
      <c r="V157" s="132">
        <f>IF(Calculations!$B$17=3,2,IF((S157*R157/T157)&lt;((T157*(1-(T157/R157)))/(2*Lm*fsw)),1,2))</f>
        <v>2</v>
      </c>
      <c r="W157" s="139">
        <f t="shared" si="76"/>
        <v>0.30555555555555558</v>
      </c>
      <c r="X157" s="133">
        <f t="shared" si="67"/>
        <v>0.69444444444444442</v>
      </c>
      <c r="Y157" s="138">
        <f t="shared" si="68"/>
        <v>1.5277777777777779</v>
      </c>
      <c r="Z157" s="139">
        <f t="shared" si="77"/>
        <v>7.9638888888888895</v>
      </c>
      <c r="AA157" s="139">
        <f t="shared" si="78"/>
        <v>7.21349490502738</v>
      </c>
      <c r="AB157" s="139">
        <v>0</v>
      </c>
      <c r="AC157" s="139">
        <f t="shared" si="79"/>
        <v>0.85856939429012358</v>
      </c>
      <c r="AD157" s="140">
        <f t="shared" si="80"/>
        <v>0.85856939429012358</v>
      </c>
      <c r="AE157" s="138">
        <f t="shared" si="92"/>
        <v>2.2000000000000002</v>
      </c>
      <c r="AF157" s="1">
        <f t="shared" si="81"/>
        <v>3.9874093378526969</v>
      </c>
      <c r="AG157" s="139">
        <f t="shared" si="69"/>
        <v>0.31798866455189767</v>
      </c>
      <c r="AH157" s="139">
        <f t="shared" si="82"/>
        <v>0.41096318166097862</v>
      </c>
      <c r="AI157" s="140">
        <f t="shared" si="83"/>
        <v>0.72895184621287634</v>
      </c>
      <c r="AJ157" s="138">
        <f>X157*U157</f>
        <v>5</v>
      </c>
      <c r="AK157" s="139">
        <f t="shared" si="85"/>
        <v>6.0112457541894839</v>
      </c>
      <c r="AL157" s="1">
        <f t="shared" si="70"/>
        <v>0.72270151034522201</v>
      </c>
      <c r="AM157" s="1">
        <f t="shared" si="86"/>
        <v>0.15427500000000002</v>
      </c>
      <c r="AN157" s="136">
        <f t="shared" si="93"/>
        <v>0.11149444444444445</v>
      </c>
      <c r="AO157" s="133">
        <f t="shared" si="87"/>
        <v>0.98847095478966651</v>
      </c>
      <c r="AP157" s="132">
        <f t="shared" si="71"/>
        <v>0.34082603227880659</v>
      </c>
      <c r="AQ157" s="137">
        <f t="shared" si="72"/>
        <v>0.85856939429012358</v>
      </c>
      <c r="AR157" s="137">
        <f t="shared" si="73"/>
        <v>3.7288753875964011E-2</v>
      </c>
      <c r="AS157" s="1">
        <f t="shared" si="74"/>
        <v>5.9279999999999999E-2</v>
      </c>
      <c r="AT157" s="140">
        <f t="shared" si="88"/>
        <v>0.05</v>
      </c>
      <c r="AU157" s="132">
        <f t="shared" si="89"/>
        <v>3.9219563757375604</v>
      </c>
      <c r="AV157" s="139">
        <f t="shared" si="90"/>
        <v>90</v>
      </c>
      <c r="AW157" s="140">
        <f>(AV157/(AV157+AU157))*100</f>
        <v>95.824239052210899</v>
      </c>
    </row>
  </sheetData>
  <mergeCells count="7">
    <mergeCell ref="AP5:AT5"/>
    <mergeCell ref="A1:M1"/>
    <mergeCell ref="R5:U5"/>
    <mergeCell ref="V5:X5"/>
    <mergeCell ref="Y5:AD5"/>
    <mergeCell ref="AE5:AI5"/>
    <mergeCell ref="AJ5:AO5"/>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F750-34DE-4F19-A8B5-17AFAB543C4D}">
  <dimension ref="A1:A5"/>
  <sheetViews>
    <sheetView workbookViewId="0">
      <selection activeCell="B1" sqref="B1"/>
    </sheetView>
  </sheetViews>
  <sheetFormatPr baseColWidth="10" defaultColWidth="9.140625" defaultRowHeight="15" x14ac:dyDescent="0.25"/>
  <cols>
    <col min="2" max="2" width="154.28515625" customWidth="1"/>
  </cols>
  <sheetData>
    <row r="1" spans="1:1" x14ac:dyDescent="0.25">
      <c r="A1" t="str">
        <f>IF(Calculations!B20=1, "EFF_IOUT", "EFF_VIN")</f>
        <v>EFF_IOUT</v>
      </c>
    </row>
    <row r="3" spans="1:1" ht="390" customHeight="1" x14ac:dyDescent="0.25"/>
    <row r="5" spans="1:1" ht="393.75" customHeight="1" x14ac:dyDescent="0.25"/>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34"/>
  <sheetViews>
    <sheetView zoomScale="85" zoomScaleNormal="85" workbookViewId="0">
      <pane ySplit="1" topLeftCell="A152" activePane="bottomLeft" state="frozen"/>
      <selection pane="bottomLeft" activeCell="B180" sqref="B180"/>
    </sheetView>
  </sheetViews>
  <sheetFormatPr baseColWidth="10" defaultColWidth="9.140625" defaultRowHeight="15" x14ac:dyDescent="0.25"/>
  <cols>
    <col min="1" max="1" width="53" customWidth="1"/>
    <col min="2" max="2" width="13.85546875" customWidth="1"/>
    <col min="3" max="3" width="8.42578125" customWidth="1"/>
    <col min="4" max="4" width="44.5703125" customWidth="1"/>
    <col min="5" max="5" width="20.42578125" customWidth="1"/>
    <col min="6" max="6" width="15.85546875" customWidth="1"/>
  </cols>
  <sheetData>
    <row r="1" spans="1:5" x14ac:dyDescent="0.25">
      <c r="A1" t="s">
        <v>220</v>
      </c>
      <c r="C1" t="s">
        <v>236</v>
      </c>
      <c r="D1" t="s">
        <v>221</v>
      </c>
      <c r="E1" t="s">
        <v>194</v>
      </c>
    </row>
    <row r="2" spans="1:5" ht="23.25" x14ac:dyDescent="0.35">
      <c r="A2" s="20" t="s">
        <v>227</v>
      </c>
    </row>
    <row r="3" spans="1:5" ht="18" x14ac:dyDescent="0.35">
      <c r="A3" t="s">
        <v>229</v>
      </c>
      <c r="B3" s="22">
        <f>LM5122_Quickstart!I7</f>
        <v>11.5</v>
      </c>
      <c r="C3" t="s">
        <v>34</v>
      </c>
      <c r="D3" s="19" t="s">
        <v>181</v>
      </c>
      <c r="E3">
        <f>IF(OR(VIN_MIN&gt;VIN_TYP,VIN_MIN&lt;EC_Table!E8,VIN_MIN&lt;EC_Table!E7),1,0)</f>
        <v>0</v>
      </c>
    </row>
    <row r="4" spans="1:5" ht="18" x14ac:dyDescent="0.35">
      <c r="A4" t="s">
        <v>243</v>
      </c>
      <c r="B4" s="22">
        <f>LM5122_Quickstart!I8</f>
        <v>12</v>
      </c>
      <c r="C4" t="s">
        <v>34</v>
      </c>
      <c r="D4" s="19" t="s">
        <v>180</v>
      </c>
      <c r="E4">
        <f>IF(VIN_TYP&gt;VIN_MAX,1,0)</f>
        <v>0</v>
      </c>
    </row>
    <row r="5" spans="1:5" ht="18" x14ac:dyDescent="0.35">
      <c r="A5" t="s">
        <v>230</v>
      </c>
      <c r="B5" s="22">
        <f>LM5122_Quickstart!I9</f>
        <v>12.5</v>
      </c>
      <c r="C5" t="s">
        <v>34</v>
      </c>
      <c r="D5" s="19" t="s">
        <v>179</v>
      </c>
      <c r="E5">
        <f>IF(VIN_MAX&gt;VOUT,1,0)</f>
        <v>0</v>
      </c>
    </row>
    <row r="6" spans="1:5" x14ac:dyDescent="0.25">
      <c r="A6" t="s">
        <v>226</v>
      </c>
      <c r="B6" s="22">
        <f>LM5122_Quickstart!I17*1000</f>
        <v>250000</v>
      </c>
      <c r="C6" t="s">
        <v>70</v>
      </c>
      <c r="D6" s="19" t="s">
        <v>219</v>
      </c>
      <c r="E6">
        <f>IF(OR(fsw&lt;EC_Table!C43,fsw&gt;EC_Table!E43),1,0)</f>
        <v>0</v>
      </c>
    </row>
    <row r="7" spans="1:5" x14ac:dyDescent="0.25">
      <c r="A7" t="s">
        <v>228</v>
      </c>
      <c r="B7">
        <v>0.94</v>
      </c>
      <c r="D7" s="102" t="s">
        <v>261</v>
      </c>
      <c r="E7" s="59"/>
    </row>
    <row r="8" spans="1:5" x14ac:dyDescent="0.25">
      <c r="A8" t="s">
        <v>670</v>
      </c>
      <c r="B8" s="36">
        <v>1</v>
      </c>
      <c r="D8" s="102" t="s">
        <v>671</v>
      </c>
      <c r="E8" s="59"/>
    </row>
    <row r="9" spans="1:5" ht="18" x14ac:dyDescent="0.35">
      <c r="A9" t="s">
        <v>222</v>
      </c>
      <c r="B9" s="22">
        <f>LM5122_Quickstart!I10</f>
        <v>18</v>
      </c>
      <c r="C9" t="s">
        <v>34</v>
      </c>
      <c r="D9" s="19" t="s">
        <v>182</v>
      </c>
      <c r="E9">
        <f>IF(VOUT&gt;EC_Table!E119-5,1,0)</f>
        <v>0</v>
      </c>
    </row>
    <row r="10" spans="1:5" ht="18" x14ac:dyDescent="0.35">
      <c r="A10" t="s">
        <v>223</v>
      </c>
      <c r="B10" s="22">
        <f>LM5122_Quickstart!I11</f>
        <v>5</v>
      </c>
      <c r="C10" t="s">
        <v>33</v>
      </c>
      <c r="D10" s="19" t="s">
        <v>186</v>
      </c>
    </row>
    <row r="11" spans="1:5" ht="18" x14ac:dyDescent="0.35">
      <c r="A11" t="s">
        <v>224</v>
      </c>
      <c r="B11" s="22">
        <f>LM5122_Quickstart!I12</f>
        <v>1</v>
      </c>
      <c r="D11" s="19" t="s">
        <v>183</v>
      </c>
    </row>
    <row r="12" spans="1:5" ht="18" x14ac:dyDescent="0.35">
      <c r="A12" t="s">
        <v>225</v>
      </c>
      <c r="B12" s="23">
        <f>B10/B11</f>
        <v>5</v>
      </c>
      <c r="C12" t="s">
        <v>33</v>
      </c>
      <c r="D12" s="19" t="s">
        <v>187</v>
      </c>
    </row>
    <row r="14" spans="1:5" x14ac:dyDescent="0.25">
      <c r="A14" t="s">
        <v>231</v>
      </c>
      <c r="B14" s="21">
        <f>EC_Table!D10</f>
        <v>7.6</v>
      </c>
      <c r="C14" t="s">
        <v>34</v>
      </c>
      <c r="D14" s="19" t="s">
        <v>217</v>
      </c>
      <c r="E14">
        <f>IF(OR(VCC&lt;EC_Table!E17,VCC&gt;EC_Table!E123),1,0)</f>
        <v>0</v>
      </c>
    </row>
    <row r="15" spans="1:5" x14ac:dyDescent="0.25">
      <c r="A15" t="s">
        <v>233</v>
      </c>
      <c r="D15" s="19" t="s">
        <v>218</v>
      </c>
    </row>
    <row r="16" spans="1:5" x14ac:dyDescent="0.25">
      <c r="D16" s="19"/>
    </row>
    <row r="17" spans="1:12" x14ac:dyDescent="0.25">
      <c r="A17" t="s">
        <v>564</v>
      </c>
      <c r="B17">
        <f>IF(LM5122_Quickstart!I13="FPWM",3,IF(LM5122_Quickstart!I13="DEM",2,1))</f>
        <v>3</v>
      </c>
      <c r="D17" t="s">
        <v>562</v>
      </c>
      <c r="K17" t="s">
        <v>565</v>
      </c>
    </row>
    <row r="18" spans="1:12" x14ac:dyDescent="0.25">
      <c r="D18" s="19"/>
      <c r="K18" t="s">
        <v>566</v>
      </c>
    </row>
    <row r="19" spans="1:12" x14ac:dyDescent="0.25">
      <c r="D19" s="19"/>
      <c r="K19" t="s">
        <v>567</v>
      </c>
    </row>
    <row r="20" spans="1:12" x14ac:dyDescent="0.25">
      <c r="A20" t="s">
        <v>715</v>
      </c>
      <c r="B20">
        <v>1</v>
      </c>
      <c r="D20" t="s">
        <v>716</v>
      </c>
      <c r="K20" s="218" t="s">
        <v>719</v>
      </c>
      <c r="L20" s="19">
        <v>1</v>
      </c>
    </row>
    <row r="21" spans="1:12" x14ac:dyDescent="0.25">
      <c r="B21" t="str">
        <f>IF(B20=1,CONCATENATE("V   = ",VIN_TYP,"V"),"")</f>
        <v>V   = 12V</v>
      </c>
      <c r="C21" t="str">
        <f>IF(B20=1,"IN","")</f>
        <v>IN</v>
      </c>
      <c r="D21" s="19"/>
      <c r="K21" s="218" t="s">
        <v>718</v>
      </c>
      <c r="L21" s="19">
        <v>2</v>
      </c>
    </row>
    <row r="22" spans="1:12" ht="23.25" x14ac:dyDescent="0.35">
      <c r="A22" s="20" t="s">
        <v>232</v>
      </c>
      <c r="D22" s="19"/>
    </row>
    <row r="23" spans="1:12" ht="33" customHeight="1" x14ac:dyDescent="0.25">
      <c r="A23" s="19" t="s">
        <v>238</v>
      </c>
      <c r="B23" s="26">
        <f>(VIN_MIN/(VOUT*EC_Table!E61))</f>
        <v>1597222.222222222</v>
      </c>
      <c r="C23" t="s">
        <v>70</v>
      </c>
      <c r="D23" s="25" t="s">
        <v>239</v>
      </c>
      <c r="E23">
        <f>IF(B23&lt;fsw,1,0)</f>
        <v>0</v>
      </c>
    </row>
    <row r="24" spans="1:12" x14ac:dyDescent="0.25">
      <c r="A24" s="19" t="s">
        <v>235</v>
      </c>
      <c r="B24" s="23">
        <f>(9*(10^9))/fsw</f>
        <v>36000</v>
      </c>
      <c r="C24" t="s">
        <v>96</v>
      </c>
      <c r="D24" t="s">
        <v>234</v>
      </c>
    </row>
    <row r="25" spans="1:12" x14ac:dyDescent="0.25">
      <c r="A25" s="19"/>
    </row>
    <row r="26" spans="1:12" x14ac:dyDescent="0.25">
      <c r="A26" s="19" t="s">
        <v>191</v>
      </c>
      <c r="B26" s="23">
        <f>fsw*1.4</f>
        <v>350000</v>
      </c>
      <c r="C26" t="s">
        <v>70</v>
      </c>
      <c r="D26" t="s">
        <v>237</v>
      </c>
    </row>
    <row r="27" spans="1:12" x14ac:dyDescent="0.25">
      <c r="A27" s="19" t="s">
        <v>192</v>
      </c>
      <c r="B27" s="23">
        <f>0.8*fsw</f>
        <v>200000</v>
      </c>
      <c r="C27" t="s">
        <v>70</v>
      </c>
      <c r="D27" t="s">
        <v>237</v>
      </c>
    </row>
    <row r="28" spans="1:12" x14ac:dyDescent="0.25">
      <c r="A28" s="19"/>
    </row>
    <row r="29" spans="1:12" x14ac:dyDescent="0.25">
      <c r="A29" s="19"/>
    </row>
    <row r="30" spans="1:12" ht="23.25" x14ac:dyDescent="0.35">
      <c r="A30" s="24" t="s">
        <v>193</v>
      </c>
    </row>
    <row r="31" spans="1:12" x14ac:dyDescent="0.25">
      <c r="A31" s="19" t="s">
        <v>197</v>
      </c>
      <c r="B31" s="23">
        <f>1-(VIN_MIN/VOUT)</f>
        <v>0.36111111111111116</v>
      </c>
      <c r="C31" t="s">
        <v>188</v>
      </c>
    </row>
    <row r="32" spans="1:12" x14ac:dyDescent="0.25">
      <c r="A32" s="19" t="s">
        <v>195</v>
      </c>
      <c r="B32" s="27">
        <f>B31/fsw</f>
        <v>1.4444444444444447E-6</v>
      </c>
      <c r="C32" t="s">
        <v>71</v>
      </c>
      <c r="D32" t="s">
        <v>253</v>
      </c>
    </row>
    <row r="33" spans="1:5" x14ac:dyDescent="0.25">
      <c r="A33" s="19" t="s">
        <v>196</v>
      </c>
      <c r="B33" s="27">
        <f>(1/fsw)-B32</f>
        <v>2.5555555555555549E-6</v>
      </c>
      <c r="C33" t="s">
        <v>71</v>
      </c>
      <c r="D33" t="s">
        <v>252</v>
      </c>
      <c r="E33">
        <f>IF(B33&lt;EC_Table!E61,1,0)</f>
        <v>0</v>
      </c>
    </row>
    <row r="34" spans="1:5" x14ac:dyDescent="0.25">
      <c r="A34" s="19" t="s">
        <v>198</v>
      </c>
      <c r="B34" s="23">
        <f>1-(VIN_MAX/VOUT)</f>
        <v>0.30555555555555558</v>
      </c>
      <c r="C34" t="s">
        <v>188</v>
      </c>
    </row>
    <row r="35" spans="1:5" x14ac:dyDescent="0.25">
      <c r="A35" s="19" t="s">
        <v>199</v>
      </c>
      <c r="B35" s="23">
        <f>B34/fsw</f>
        <v>1.2222222222222223E-6</v>
      </c>
      <c r="C35" t="s">
        <v>71</v>
      </c>
      <c r="D35" t="s">
        <v>250</v>
      </c>
    </row>
    <row r="36" spans="1:5" x14ac:dyDescent="0.25">
      <c r="A36" s="19" t="s">
        <v>200</v>
      </c>
      <c r="B36" s="23">
        <f>(1/fsw)-B35</f>
        <v>2.7777777777777775E-6</v>
      </c>
      <c r="C36" t="s">
        <v>71</v>
      </c>
      <c r="D36" t="s">
        <v>251</v>
      </c>
    </row>
    <row r="38" spans="1:5" ht="23.25" x14ac:dyDescent="0.35">
      <c r="A38" s="20" t="s">
        <v>288</v>
      </c>
    </row>
    <row r="39" spans="1:5" ht="23.25" x14ac:dyDescent="0.35">
      <c r="A39" s="20"/>
    </row>
    <row r="40" spans="1:5" x14ac:dyDescent="0.25">
      <c r="A40" s="19" t="s">
        <v>241</v>
      </c>
      <c r="B40" s="22">
        <f>LM5122_Quickstart!I25/100</f>
        <v>0.3</v>
      </c>
      <c r="C40" t="s">
        <v>188</v>
      </c>
      <c r="D40" t="s">
        <v>242</v>
      </c>
    </row>
    <row r="41" spans="1:5" x14ac:dyDescent="0.25">
      <c r="A41" s="19" t="s">
        <v>245</v>
      </c>
      <c r="B41" s="28">
        <f>(VIN_TYP*(1-(VIN_TYP/VOUT)))/(((VOUT*IOUT_np)/(eta*VIN_TYP))*RR*fsw)</f>
        <v>6.6844444444444439E-6</v>
      </c>
      <c r="C41" t="s">
        <v>246</v>
      </c>
      <c r="D41" t="s">
        <v>244</v>
      </c>
    </row>
    <row r="42" spans="1:5" x14ac:dyDescent="0.25">
      <c r="A42" s="19" t="s">
        <v>247</v>
      </c>
      <c r="B42" s="33">
        <f>LM5122_Quickstart!I27/(10^6)</f>
        <v>1.0000000000000001E-5</v>
      </c>
      <c r="C42" t="s">
        <v>246</v>
      </c>
      <c r="D42" t="s">
        <v>248</v>
      </c>
    </row>
    <row r="43" spans="1:5" x14ac:dyDescent="0.25">
      <c r="A43" s="19" t="s">
        <v>254</v>
      </c>
      <c r="B43" s="22">
        <f>LM5122_Quickstart!I28/1000</f>
        <v>1.6500000000000001E-2</v>
      </c>
      <c r="C43" t="s">
        <v>96</v>
      </c>
      <c r="D43" t="s">
        <v>255</v>
      </c>
    </row>
    <row r="44" spans="1:5" x14ac:dyDescent="0.25">
      <c r="A44" s="19"/>
    </row>
    <row r="45" spans="1:5" x14ac:dyDescent="0.25">
      <c r="A45" s="19" t="s">
        <v>271</v>
      </c>
      <c r="B45" s="38">
        <f>(VOUT*IOUT_np)/(VIN_MIN*eta)</f>
        <v>8.3256244218316375</v>
      </c>
      <c r="C45" t="s">
        <v>33</v>
      </c>
      <c r="D45" s="34" t="s">
        <v>281</v>
      </c>
    </row>
    <row r="46" spans="1:5" x14ac:dyDescent="0.25">
      <c r="A46" s="19" t="s">
        <v>272</v>
      </c>
      <c r="B46" s="38">
        <f>(VOUT*IOUT_np)/(VIN_TYP*eta)</f>
        <v>7.9787234042553195</v>
      </c>
      <c r="C46" t="s">
        <v>33</v>
      </c>
      <c r="D46" s="34" t="s">
        <v>281</v>
      </c>
    </row>
    <row r="47" spans="1:5" x14ac:dyDescent="0.25">
      <c r="A47" s="19" t="s">
        <v>273</v>
      </c>
      <c r="B47" s="38">
        <f>(VOUT*IOUT_np)/(VIN_MAX*eta)</f>
        <v>7.6595744680851068</v>
      </c>
      <c r="C47" t="s">
        <v>33</v>
      </c>
      <c r="D47" s="34" t="s">
        <v>281</v>
      </c>
      <c r="E47">
        <f>(VIN_MAX/Lm)*((1-(VIN_MAX/VOUT))/(2*fsw))</f>
        <v>0.76388888888888895</v>
      </c>
    </row>
    <row r="48" spans="1:5" x14ac:dyDescent="0.25">
      <c r="E48">
        <f>SQRT((2*Lm*fsw*(VOUT-VIN_MAX)*((VOUT/VIN_MAX)*IOUT_np))/(VIN_MAX*VOUT))</f>
        <v>0.93808315196468584</v>
      </c>
    </row>
    <row r="49" spans="1:5" x14ac:dyDescent="0.25">
      <c r="A49" s="19" t="s">
        <v>278</v>
      </c>
      <c r="B49" s="39">
        <f>IF((VIN_MIN/Lm)*((1-(VIN_MIN/VOUT))/(2*fsw))&lt;B45,(1-(VIN_MIN/VOUT)),SQRT((2*Lm*fsw*(VOUT-VIN_MIN)*((VOUT/VIN_MIN)*IOUT_np))/(VIN_MIN*VOUT)))</f>
        <v>0.36111111111111116</v>
      </c>
      <c r="C49" t="s">
        <v>188</v>
      </c>
      <c r="D49" s="34" t="s">
        <v>281</v>
      </c>
      <c r="E49">
        <f>(VIN_MAX/VOUT)</f>
        <v>0.69444444444444442</v>
      </c>
    </row>
    <row r="50" spans="1:5" x14ac:dyDescent="0.25">
      <c r="A50" s="19" t="s">
        <v>279</v>
      </c>
      <c r="B50" s="39">
        <f>IF((VIN_TYP/Lm)*((1-(VIN_TYP/VOUT))/(2*fsw))&lt;B46,(1-(VIN_TYP/VOUT)),SQRT((2*Lm*fsw*(VOUT-VIN_TYP)*((VOUT/VIN_TYP)*IOUT_np))/(VIN_TYP*VOUT)))</f>
        <v>0.33333333333333337</v>
      </c>
      <c r="C50" t="s">
        <v>188</v>
      </c>
      <c r="D50" s="34" t="s">
        <v>281</v>
      </c>
    </row>
    <row r="51" spans="1:5" x14ac:dyDescent="0.25">
      <c r="A51" s="19" t="s">
        <v>280</v>
      </c>
      <c r="B51" s="39">
        <f>IF((VIN_MAX/Lm)*((1-(VIN_MAX/VOUT))/(2*fsw))&lt;B47,(1-(VIN_MAX/VOUT)),SQRT((2*Lm*fsw*(VOUT-VIN_MAX)*((VOUT/VIN_MAX)*IOUT_np))/(VIN_MAX*VOUT)))</f>
        <v>0.30555555555555558</v>
      </c>
      <c r="C51" t="s">
        <v>188</v>
      </c>
      <c r="D51" s="34" t="s">
        <v>281</v>
      </c>
    </row>
    <row r="52" spans="1:5" x14ac:dyDescent="0.25">
      <c r="A52" s="19"/>
      <c r="B52" s="32"/>
      <c r="D52" s="34"/>
    </row>
    <row r="53" spans="1:5" x14ac:dyDescent="0.25">
      <c r="A53" s="19" t="s">
        <v>275</v>
      </c>
      <c r="B53" s="38">
        <f>B49*VIN_MIN/(Lm*fsw)</f>
        <v>1.6611111111111114</v>
      </c>
      <c r="C53" t="s">
        <v>33</v>
      </c>
      <c r="D53" s="34" t="s">
        <v>281</v>
      </c>
    </row>
    <row r="54" spans="1:5" x14ac:dyDescent="0.25">
      <c r="A54" s="19" t="s">
        <v>276</v>
      </c>
      <c r="B54" s="38">
        <f>B50*VIN_TYP/(Lm*fsw)</f>
        <v>1.6</v>
      </c>
      <c r="C54" t="s">
        <v>33</v>
      </c>
      <c r="D54" s="34" t="s">
        <v>281</v>
      </c>
    </row>
    <row r="55" spans="1:5" x14ac:dyDescent="0.25">
      <c r="A55" s="19" t="s">
        <v>277</v>
      </c>
      <c r="B55" s="38">
        <f>B51*VIN_MAX/(Lm*fsw)</f>
        <v>1.5277777777777779</v>
      </c>
      <c r="C55" t="s">
        <v>33</v>
      </c>
      <c r="D55" s="34" t="s">
        <v>281</v>
      </c>
    </row>
    <row r="56" spans="1:5" x14ac:dyDescent="0.25">
      <c r="A56" s="19"/>
      <c r="B56" s="37"/>
      <c r="D56" s="34"/>
    </row>
    <row r="57" spans="1:5" x14ac:dyDescent="0.25">
      <c r="A57" s="19" t="s">
        <v>256</v>
      </c>
      <c r="B57" s="38">
        <f>B45+(B53/2)</f>
        <v>9.1561799773871932</v>
      </c>
      <c r="C57" t="s">
        <v>33</v>
      </c>
      <c r="D57" s="34" t="s">
        <v>281</v>
      </c>
    </row>
    <row r="58" spans="1:5" x14ac:dyDescent="0.25">
      <c r="A58" s="19" t="s">
        <v>274</v>
      </c>
      <c r="B58" s="38">
        <f>B46+(B54/2)</f>
        <v>8.7787234042553202</v>
      </c>
      <c r="C58" t="s">
        <v>33</v>
      </c>
      <c r="D58" s="34" t="s">
        <v>281</v>
      </c>
    </row>
    <row r="59" spans="1:5" x14ac:dyDescent="0.25">
      <c r="A59" s="19" t="s">
        <v>257</v>
      </c>
      <c r="B59" s="38">
        <f>B47+(B55/2)</f>
        <v>8.4234633569739952</v>
      </c>
      <c r="C59" t="s">
        <v>33</v>
      </c>
      <c r="D59" s="34" t="s">
        <v>281</v>
      </c>
    </row>
    <row r="60" spans="1:5" x14ac:dyDescent="0.25">
      <c r="A60" s="19"/>
      <c r="B60" s="37"/>
      <c r="D60" s="34"/>
    </row>
    <row r="61" spans="1:5" x14ac:dyDescent="0.25">
      <c r="A61" s="19"/>
      <c r="B61" s="37"/>
      <c r="D61" s="34"/>
    </row>
    <row r="62" spans="1:5" x14ac:dyDescent="0.25">
      <c r="A62" s="19"/>
      <c r="B62" s="37"/>
      <c r="D62" s="34"/>
    </row>
    <row r="63" spans="1:5" x14ac:dyDescent="0.25">
      <c r="A63" s="19"/>
      <c r="B63" s="37"/>
      <c r="D63" s="34"/>
    </row>
    <row r="64" spans="1:5" x14ac:dyDescent="0.25">
      <c r="A64" s="19"/>
      <c r="B64" s="37"/>
      <c r="D64" s="34"/>
    </row>
    <row r="65" spans="1:4" x14ac:dyDescent="0.25">
      <c r="A65" s="19"/>
      <c r="B65" s="37"/>
      <c r="D65" s="34"/>
    </row>
    <row r="66" spans="1:4" x14ac:dyDescent="0.25">
      <c r="A66" s="19"/>
      <c r="B66" s="37"/>
      <c r="D66" s="34"/>
    </row>
    <row r="67" spans="1:4" x14ac:dyDescent="0.25">
      <c r="A67" s="19"/>
      <c r="B67" s="37"/>
      <c r="D67" s="34"/>
    </row>
    <row r="68" spans="1:4" x14ac:dyDescent="0.25">
      <c r="A68" s="19"/>
      <c r="B68" s="37"/>
      <c r="D68" s="34"/>
    </row>
    <row r="69" spans="1:4" x14ac:dyDescent="0.25">
      <c r="A69" s="19"/>
      <c r="B69" s="37"/>
      <c r="D69" s="34"/>
    </row>
    <row r="70" spans="1:4" x14ac:dyDescent="0.25">
      <c r="A70" s="19"/>
      <c r="B70" s="37"/>
      <c r="D70" s="34"/>
    </row>
    <row r="71" spans="1:4" x14ac:dyDescent="0.25">
      <c r="A71" s="19"/>
      <c r="B71" s="37"/>
      <c r="D71" s="34"/>
    </row>
    <row r="72" spans="1:4" x14ac:dyDescent="0.25">
      <c r="A72" s="19"/>
      <c r="B72" s="37"/>
      <c r="D72" s="34"/>
    </row>
    <row r="73" spans="1:4" x14ac:dyDescent="0.25">
      <c r="A73" s="19"/>
      <c r="B73" s="37"/>
      <c r="D73" s="34"/>
    </row>
    <row r="74" spans="1:4" x14ac:dyDescent="0.25">
      <c r="A74" s="19"/>
      <c r="B74" s="37"/>
      <c r="D74" s="34"/>
    </row>
    <row r="75" spans="1:4" x14ac:dyDescent="0.25">
      <c r="A75" s="19"/>
      <c r="B75" s="37"/>
      <c r="D75" s="34"/>
    </row>
    <row r="76" spans="1:4" x14ac:dyDescent="0.25">
      <c r="A76" s="19"/>
      <c r="B76" s="37"/>
      <c r="D76" s="34"/>
    </row>
    <row r="77" spans="1:4" x14ac:dyDescent="0.25">
      <c r="A77" s="19"/>
      <c r="B77" s="37"/>
      <c r="D77" s="34"/>
    </row>
    <row r="78" spans="1:4" x14ac:dyDescent="0.25">
      <c r="A78" s="19"/>
      <c r="B78" s="37"/>
      <c r="D78" s="34"/>
    </row>
    <row r="79" spans="1:4" x14ac:dyDescent="0.25">
      <c r="A79" s="19"/>
      <c r="B79" s="37"/>
      <c r="D79" s="34"/>
    </row>
    <row r="81" spans="1:5" ht="23.25" x14ac:dyDescent="0.35">
      <c r="A81" s="20" t="s">
        <v>294</v>
      </c>
    </row>
    <row r="82" spans="1:5" x14ac:dyDescent="0.25">
      <c r="A82" s="19" t="s">
        <v>297</v>
      </c>
      <c r="B82" s="22">
        <f>LM5122_Quickstart!I39/100</f>
        <v>0.25</v>
      </c>
      <c r="D82" t="s">
        <v>295</v>
      </c>
    </row>
    <row r="83" spans="1:5" x14ac:dyDescent="0.25">
      <c r="A83" s="19" t="s">
        <v>296</v>
      </c>
      <c r="B83" s="38">
        <f>MAX(B57:B59)*(1+M_LIMIT)</f>
        <v>11.445224971733992</v>
      </c>
      <c r="C83" t="s">
        <v>33</v>
      </c>
      <c r="D83" t="s">
        <v>298</v>
      </c>
    </row>
    <row r="84" spans="1:5" x14ac:dyDescent="0.25">
      <c r="A84" s="19" t="s">
        <v>336</v>
      </c>
      <c r="B84" s="40">
        <f>EC_Table!D72</f>
        <v>10</v>
      </c>
      <c r="D84" t="s">
        <v>337</v>
      </c>
    </row>
    <row r="85" spans="1:5" x14ac:dyDescent="0.25">
      <c r="A85" s="19" t="s">
        <v>338</v>
      </c>
      <c r="B85" s="40">
        <f>EC_Table!D68</f>
        <v>7.4999999999999997E-2</v>
      </c>
      <c r="D85" t="s">
        <v>339</v>
      </c>
    </row>
    <row r="86" spans="1:5" x14ac:dyDescent="0.25">
      <c r="A86" s="19" t="s">
        <v>299</v>
      </c>
      <c r="B86" s="38">
        <f>VCL/B83</f>
        <v>6.5529511377212558E-3</v>
      </c>
      <c r="C86" t="s">
        <v>96</v>
      </c>
      <c r="D86" t="s">
        <v>300</v>
      </c>
    </row>
    <row r="87" spans="1:5" x14ac:dyDescent="0.25">
      <c r="A87" s="19" t="s">
        <v>301</v>
      </c>
      <c r="B87" s="22">
        <f>LM5122_Quickstart!I42/1000</f>
        <v>6.5499999999999994E-3</v>
      </c>
      <c r="C87" t="s">
        <v>96</v>
      </c>
      <c r="D87" t="s">
        <v>302</v>
      </c>
    </row>
    <row r="88" spans="1:5" x14ac:dyDescent="0.25">
      <c r="A88" s="19"/>
    </row>
    <row r="89" spans="1:5" x14ac:dyDescent="0.25">
      <c r="A89" s="19" t="s">
        <v>256</v>
      </c>
      <c r="B89" s="23">
        <f>VCL/Rcs</f>
        <v>11.450381679389313</v>
      </c>
      <c r="C89" t="s">
        <v>33</v>
      </c>
      <c r="D89" t="s">
        <v>308</v>
      </c>
      <c r="E89">
        <f>IF(B89&lt;B57,1,0)</f>
        <v>0</v>
      </c>
    </row>
    <row r="90" spans="1:5" x14ac:dyDescent="0.25">
      <c r="A90" s="19" t="s">
        <v>274</v>
      </c>
      <c r="B90" s="23">
        <f>VCL/Rcs</f>
        <v>11.450381679389313</v>
      </c>
      <c r="C90" t="s">
        <v>33</v>
      </c>
      <c r="D90" t="s">
        <v>309</v>
      </c>
      <c r="E90">
        <f>IF(B90&lt;B58,1,0)</f>
        <v>0</v>
      </c>
    </row>
    <row r="91" spans="1:5" x14ac:dyDescent="0.25">
      <c r="A91" s="19" t="s">
        <v>257</v>
      </c>
      <c r="B91" s="23">
        <f>VCL/Rcs</f>
        <v>11.450381679389313</v>
      </c>
      <c r="C91" t="s">
        <v>33</v>
      </c>
      <c r="D91" t="s">
        <v>310</v>
      </c>
      <c r="E91">
        <f>IF(B91&lt;B59,1,0)</f>
        <v>0</v>
      </c>
    </row>
    <row r="93" spans="1:5" x14ac:dyDescent="0.25">
      <c r="A93" s="19" t="s">
        <v>315</v>
      </c>
      <c r="B93" s="38">
        <f>(VIN_MIN*(B89-(B53/2))*np)/(VOUT)</f>
        <v>6.784888912449345</v>
      </c>
      <c r="C93" t="s">
        <v>33</v>
      </c>
      <c r="D93" t="s">
        <v>312</v>
      </c>
    </row>
    <row r="94" spans="1:5" x14ac:dyDescent="0.25">
      <c r="A94" s="19" t="s">
        <v>316</v>
      </c>
      <c r="B94" s="38">
        <f>(VIN_TYP*(B90-(B54/2))*np)/(VOUT)</f>
        <v>7.1002544529262082</v>
      </c>
      <c r="C94" t="s">
        <v>33</v>
      </c>
      <c r="D94" t="s">
        <v>314</v>
      </c>
    </row>
    <row r="95" spans="1:5" x14ac:dyDescent="0.25">
      <c r="A95" s="19" t="s">
        <v>317</v>
      </c>
      <c r="B95" s="38">
        <f>(VIN_MAX*(B91-(B55/2))*np)/(VOUT)</f>
        <v>7.4211755489586277</v>
      </c>
      <c r="C95" t="s">
        <v>33</v>
      </c>
      <c r="D95" t="s">
        <v>313</v>
      </c>
    </row>
    <row r="97" spans="1:5" ht="23.25" x14ac:dyDescent="0.35">
      <c r="A97" s="24" t="s">
        <v>321</v>
      </c>
    </row>
    <row r="98" spans="1:5" x14ac:dyDescent="0.25">
      <c r="A98" s="19" t="s">
        <v>325</v>
      </c>
      <c r="B98" s="22">
        <f>LM5122_Quickstart!I50</f>
        <v>1</v>
      </c>
      <c r="D98" t="s">
        <v>322</v>
      </c>
    </row>
    <row r="99" spans="1:5" x14ac:dyDescent="0.25">
      <c r="A99" s="19" t="s">
        <v>328</v>
      </c>
      <c r="B99" s="23">
        <f>((5.7*10^9)/fsw)*(1.2-(VIN_MIN/VOUT))</f>
        <v>12793.333333333334</v>
      </c>
      <c r="C99" t="s">
        <v>96</v>
      </c>
      <c r="D99" t="s">
        <v>329</v>
      </c>
    </row>
    <row r="100" spans="1:5" x14ac:dyDescent="0.25">
      <c r="A100" s="19" t="s">
        <v>326</v>
      </c>
      <c r="B100" s="23">
        <f>(Lm*(6*10^9))/(((k_slope_selected*VOUT)-VIN_MIN)*Rcs*EC_Table!D72)</f>
        <v>140927.7745155608</v>
      </c>
      <c r="C100" t="s">
        <v>96</v>
      </c>
      <c r="D100" t="s">
        <v>327</v>
      </c>
    </row>
    <row r="101" spans="1:5" x14ac:dyDescent="0.25">
      <c r="A101" s="19" t="s">
        <v>331</v>
      </c>
      <c r="B101" s="22">
        <f>LM5122_Quickstart!I53*1000</f>
        <v>142000</v>
      </c>
      <c r="C101" t="s">
        <v>96</v>
      </c>
      <c r="D101" t="s">
        <v>332</v>
      </c>
      <c r="E101">
        <f>IF(B101&lt;B99,1,0)</f>
        <v>0</v>
      </c>
    </row>
    <row r="103" spans="1:5" x14ac:dyDescent="0.25">
      <c r="A103" s="19" t="s">
        <v>333</v>
      </c>
      <c r="B103" s="23">
        <f>(1+(Lm*6*10^9/(VIN_MIN*Rcs*ACS*Rslope)))*(VIN_MIN/VOUT)</f>
        <v>0.99727329199966552</v>
      </c>
      <c r="D103" t="s">
        <v>340</v>
      </c>
    </row>
    <row r="104" spans="1:5" x14ac:dyDescent="0.25">
      <c r="A104" s="19" t="s">
        <v>343</v>
      </c>
      <c r="D104" t="s">
        <v>346</v>
      </c>
    </row>
    <row r="105" spans="1:5" x14ac:dyDescent="0.25">
      <c r="A105" s="19" t="s">
        <v>334</v>
      </c>
      <c r="B105" s="41">
        <f>(1+(Lm*6*10^9/(VIN_TYP*Rcs*ACS*Rslope)))*(VIN_TYP/VOUT)</f>
        <v>1.0250510697774433</v>
      </c>
      <c r="D105" t="s">
        <v>342</v>
      </c>
    </row>
    <row r="106" spans="1:5" x14ac:dyDescent="0.25">
      <c r="A106" s="19" t="s">
        <v>344</v>
      </c>
      <c r="B106" s="36"/>
      <c r="D106" t="s">
        <v>346</v>
      </c>
    </row>
    <row r="107" spans="1:5" x14ac:dyDescent="0.25">
      <c r="A107" s="19" t="s">
        <v>335</v>
      </c>
      <c r="B107" s="41">
        <f>(1+(Lm*6*10^9/(VIN_MAX*Rcs*ACS*Rslope)))*(VIN_MAX/VOUT)</f>
        <v>1.0528288475552212</v>
      </c>
      <c r="D107" t="s">
        <v>341</v>
      </c>
    </row>
    <row r="108" spans="1:5" x14ac:dyDescent="0.25">
      <c r="A108" s="19" t="s">
        <v>345</v>
      </c>
      <c r="D108" t="s">
        <v>346</v>
      </c>
    </row>
    <row r="110" spans="1:5" ht="23.25" x14ac:dyDescent="0.35">
      <c r="A110" s="24" t="s">
        <v>347</v>
      </c>
    </row>
    <row r="111" spans="1:5" x14ac:dyDescent="0.25">
      <c r="A111" s="19" t="s">
        <v>350</v>
      </c>
      <c r="B111" s="22">
        <f>LM5122_Quickstart!I56/1000</f>
        <v>0.05</v>
      </c>
      <c r="C111" t="s">
        <v>34</v>
      </c>
      <c r="D111" t="s">
        <v>353</v>
      </c>
    </row>
    <row r="112" spans="1:5" x14ac:dyDescent="0.25">
      <c r="A112" s="19" t="s">
        <v>684</v>
      </c>
      <c r="B112" s="103">
        <f>(IOUT*1-(VIN_MIN/VOUT))/(B111*fsw)</f>
        <v>3.4888888888888887E-4</v>
      </c>
      <c r="C112" t="s">
        <v>354</v>
      </c>
      <c r="D112" t="s">
        <v>687</v>
      </c>
    </row>
    <row r="113" spans="1:5" x14ac:dyDescent="0.25">
      <c r="A113" s="19" t="s">
        <v>551</v>
      </c>
      <c r="B113" s="103">
        <f>1/((((VIN_MIN*B111)/(VOUT*IOUT))-RESR)*4*fsw)</f>
        <v>-2.2929936305732481E-5</v>
      </c>
      <c r="C113" t="s">
        <v>354</v>
      </c>
      <c r="D113" t="s">
        <v>686</v>
      </c>
    </row>
    <row r="114" spans="1:5" x14ac:dyDescent="0.25">
      <c r="A114" s="19" t="s">
        <v>681</v>
      </c>
      <c r="B114" s="103">
        <f>(IOUT-0.5*IOUT)/(B111*(w_RHP/5))</f>
        <v>1.7013232514177694E-3</v>
      </c>
      <c r="C114" t="s">
        <v>354</v>
      </c>
      <c r="D114" t="s">
        <v>682</v>
      </c>
    </row>
    <row r="115" spans="1:5" x14ac:dyDescent="0.25">
      <c r="A115" s="19" t="s">
        <v>356</v>
      </c>
      <c r="B115" s="22">
        <f>LM5122_Quickstart!I58/(10^6)</f>
        <v>5.9999999999999995E-4</v>
      </c>
      <c r="C115" t="s">
        <v>354</v>
      </c>
      <c r="D115" t="s">
        <v>358</v>
      </c>
    </row>
    <row r="116" spans="1:5" x14ac:dyDescent="0.25">
      <c r="A116" s="19"/>
    </row>
    <row r="117" spans="1:5" x14ac:dyDescent="0.25">
      <c r="A117" s="19" t="s">
        <v>357</v>
      </c>
      <c r="B117" s="22">
        <f>LM5122_Quickstart!I59/1000</f>
        <v>0.05</v>
      </c>
      <c r="C117" t="s">
        <v>96</v>
      </c>
      <c r="D117" t="s">
        <v>359</v>
      </c>
    </row>
    <row r="120" spans="1:5" ht="23.25" x14ac:dyDescent="0.35">
      <c r="A120" s="24" t="s">
        <v>371</v>
      </c>
    </row>
    <row r="121" spans="1:5" x14ac:dyDescent="0.25">
      <c r="A121" t="s">
        <v>362</v>
      </c>
      <c r="B121" s="23">
        <f>((VOUT/IOUT_np)*((VIN_MIN/VOUT)^2))/Lm</f>
        <v>146944.44444444441</v>
      </c>
      <c r="C121" t="s">
        <v>363</v>
      </c>
      <c r="D121" t="s">
        <v>690</v>
      </c>
    </row>
    <row r="122" spans="1:5" x14ac:dyDescent="0.25">
      <c r="A122" t="s">
        <v>423</v>
      </c>
      <c r="B122" s="23">
        <f>w_RHP/(2*PI())</f>
        <v>23386.934693225725</v>
      </c>
      <c r="C122" t="s">
        <v>70</v>
      </c>
    </row>
    <row r="123" spans="1:5" x14ac:dyDescent="0.25">
      <c r="A123" t="s">
        <v>364</v>
      </c>
      <c r="B123" s="23">
        <f>1/(COUT*RESR)</f>
        <v>33333.333333333336</v>
      </c>
      <c r="C123" t="s">
        <v>363</v>
      </c>
      <c r="D123" t="s">
        <v>365</v>
      </c>
    </row>
    <row r="124" spans="1:5" x14ac:dyDescent="0.25">
      <c r="A124" t="s">
        <v>424</v>
      </c>
      <c r="B124" s="23">
        <f>w_Z_ESR/(2*PI())</f>
        <v>5305.1647697298449</v>
      </c>
      <c r="C124" t="s">
        <v>70</v>
      </c>
    </row>
    <row r="125" spans="1:5" x14ac:dyDescent="0.25">
      <c r="A125" t="s">
        <v>366</v>
      </c>
      <c r="B125" s="23">
        <f>2/(COUT*(VOUT/IOUT_np))</f>
        <v>925.92592592592587</v>
      </c>
      <c r="C125" t="s">
        <v>363</v>
      </c>
      <c r="D125" t="s">
        <v>416</v>
      </c>
    </row>
    <row r="126" spans="1:5" x14ac:dyDescent="0.25">
      <c r="A126" t="s">
        <v>425</v>
      </c>
      <c r="B126" s="23">
        <f>w_p_low/(2*PI())</f>
        <v>147.36568804805123</v>
      </c>
      <c r="C126" t="s">
        <v>70</v>
      </c>
    </row>
    <row r="127" spans="1:5" x14ac:dyDescent="0.25">
      <c r="A127" t="s">
        <v>367</v>
      </c>
      <c r="B127" s="23">
        <f>Gcomp*(VIN_MIN/IOUT_np)/(2*Rcs*ACS)</f>
        <v>13.16793893129771</v>
      </c>
      <c r="C127" t="s">
        <v>118</v>
      </c>
      <c r="D127" t="s">
        <v>368</v>
      </c>
      <c r="E127" t="s">
        <v>417</v>
      </c>
    </row>
    <row r="128" spans="1:5" x14ac:dyDescent="0.25">
      <c r="A128" t="s">
        <v>369</v>
      </c>
      <c r="B128" s="23">
        <f>1/(PI()*(B103-0.5))</f>
        <v>0.64011056154611412</v>
      </c>
      <c r="D128" t="s">
        <v>370</v>
      </c>
    </row>
    <row r="130" spans="1:5" x14ac:dyDescent="0.25">
      <c r="A130" t="s">
        <v>520</v>
      </c>
      <c r="B130" s="38">
        <f>(Rcs*ACS/(2*Lm*fsw))*(1-(VIN_MIN/VOUT))*(VIN_MIN/VOUT)</f>
        <v>3.0222993827160489E-3</v>
      </c>
      <c r="E130" t="s">
        <v>474</v>
      </c>
    </row>
    <row r="131" spans="1:5" x14ac:dyDescent="0.25">
      <c r="A131" t="s">
        <v>521</v>
      </c>
      <c r="B131" s="38">
        <f>1/((0.5-(1-(VIN_MIN/VOUT)))*(Rcs*ACS/(Lm*fsw))+(Vslo*ACS/VOUT))</f>
        <v>1.4918569474949237</v>
      </c>
      <c r="E131" t="s">
        <v>474</v>
      </c>
    </row>
    <row r="132" spans="1:5" x14ac:dyDescent="0.25">
      <c r="A132" t="s">
        <v>522</v>
      </c>
      <c r="B132" s="38">
        <f>2+((VOUT*((VIN_MIN/VOUT)^2))/(IOUT_np*Rcs*ACS))*((1/Km_VINmin)+(Kex_VINmin/(VIN_MIN/VOUT)))</f>
        <v>17.143939897276407</v>
      </c>
      <c r="E132" t="s">
        <v>474</v>
      </c>
    </row>
    <row r="133" spans="1:5" x14ac:dyDescent="0.25">
      <c r="A133" s="98"/>
      <c r="B133" s="37"/>
    </row>
    <row r="134" spans="1:5" x14ac:dyDescent="0.25">
      <c r="A134" s="98"/>
      <c r="B134" s="37"/>
    </row>
    <row r="135" spans="1:5" x14ac:dyDescent="0.25">
      <c r="A135" s="98"/>
      <c r="B135" s="37"/>
    </row>
    <row r="136" spans="1:5" x14ac:dyDescent="0.25">
      <c r="A136" t="s">
        <v>523</v>
      </c>
      <c r="B136" s="38">
        <f>((VIN_MIN/VOUT)*(VOUT/IOUT_np))/(Kd_VINmin*Rcs*ACS)</f>
        <v>2.0482166892321176</v>
      </c>
    </row>
    <row r="137" spans="1:5" x14ac:dyDescent="0.25">
      <c r="B137" s="37"/>
    </row>
    <row r="138" spans="1:5" x14ac:dyDescent="0.25">
      <c r="A138" t="s">
        <v>524</v>
      </c>
      <c r="B138" s="38">
        <f>Kd_VINmin/(COUT*(VOUT/IOUT_np))</f>
        <v>7937.0092117020404</v>
      </c>
      <c r="C138" t="s">
        <v>525</v>
      </c>
      <c r="E138" t="s">
        <v>526</v>
      </c>
    </row>
    <row r="139" spans="1:5" x14ac:dyDescent="0.25">
      <c r="A139" t="s">
        <v>527</v>
      </c>
      <c r="B139" s="38">
        <f>B138/(2*PI())</f>
        <v>1263.2142494082873</v>
      </c>
      <c r="C139" t="s">
        <v>70</v>
      </c>
      <c r="E139" t="s">
        <v>528</v>
      </c>
    </row>
    <row r="140" spans="1:5" ht="73.5" customHeight="1" x14ac:dyDescent="0.25">
      <c r="B140" s="37"/>
    </row>
    <row r="141" spans="1:5" x14ac:dyDescent="0.25">
      <c r="A141" t="s">
        <v>529</v>
      </c>
      <c r="B141" s="38">
        <f>1/(COUT*RESR)</f>
        <v>33333.333333333336</v>
      </c>
      <c r="C141" t="s">
        <v>530</v>
      </c>
      <c r="E141" t="s">
        <v>531</v>
      </c>
    </row>
    <row r="142" spans="1:5" ht="15.75" customHeight="1" x14ac:dyDescent="0.25">
      <c r="A142" t="s">
        <v>532</v>
      </c>
      <c r="B142" s="38">
        <f>B141/(2*PI())</f>
        <v>5305.1647697298449</v>
      </c>
      <c r="C142" t="s">
        <v>70</v>
      </c>
      <c r="E142" t="s">
        <v>533</v>
      </c>
    </row>
    <row r="143" spans="1:5" ht="15.75" customHeight="1" x14ac:dyDescent="0.25">
      <c r="B143" s="37"/>
    </row>
    <row r="144" spans="1:5" x14ac:dyDescent="0.25">
      <c r="A144" t="s">
        <v>534</v>
      </c>
      <c r="B144" s="38">
        <f>((VOUT/IOUT_np)*((VIN_MIN/VOUT)^2))/(Lm)</f>
        <v>146944.44444444441</v>
      </c>
      <c r="E144" t="s">
        <v>535</v>
      </c>
    </row>
    <row r="145" spans="1:5" x14ac:dyDescent="0.25">
      <c r="A145" t="s">
        <v>536</v>
      </c>
      <c r="B145" s="38">
        <f>B144/(2*PI())</f>
        <v>23386.934693225725</v>
      </c>
      <c r="C145" t="s">
        <v>70</v>
      </c>
      <c r="E145" t="s">
        <v>537</v>
      </c>
    </row>
    <row r="146" spans="1:5" x14ac:dyDescent="0.25">
      <c r="B146" s="38">
        <f>fsw/10</f>
        <v>25000</v>
      </c>
      <c r="C146" t="s">
        <v>70</v>
      </c>
      <c r="E146" t="s">
        <v>538</v>
      </c>
    </row>
    <row r="147" spans="1:5" x14ac:dyDescent="0.25">
      <c r="B147" s="26">
        <f>IF((B145/5)&lt;(B146),0,1)</f>
        <v>0</v>
      </c>
      <c r="E147" t="s">
        <v>539</v>
      </c>
    </row>
    <row r="148" spans="1:5" x14ac:dyDescent="0.25">
      <c r="B148" s="37"/>
    </row>
    <row r="149" spans="1:5" x14ac:dyDescent="0.25">
      <c r="A149" t="s">
        <v>540</v>
      </c>
      <c r="B149" s="38">
        <f>(Vslo*fsw)</f>
        <v>300000</v>
      </c>
      <c r="C149" t="s">
        <v>118</v>
      </c>
      <c r="E149" t="s">
        <v>541</v>
      </c>
    </row>
    <row r="150" spans="1:5" x14ac:dyDescent="0.25">
      <c r="A150" t="s">
        <v>542</v>
      </c>
      <c r="B150" s="38">
        <f>(Rcs*VIN_MIN)/Lm</f>
        <v>7532.4999999999982</v>
      </c>
      <c r="C150" t="s">
        <v>118</v>
      </c>
      <c r="E150" t="s">
        <v>488</v>
      </c>
    </row>
    <row r="151" spans="1:5" x14ac:dyDescent="0.25">
      <c r="B151" s="37"/>
    </row>
    <row r="152" spans="1:5" x14ac:dyDescent="0.25">
      <c r="A152" t="s">
        <v>543</v>
      </c>
      <c r="B152" s="38">
        <f>2*PI()*fsw</f>
        <v>1570796.3267948965</v>
      </c>
      <c r="C152" t="s">
        <v>489</v>
      </c>
      <c r="E152" t="s">
        <v>544</v>
      </c>
    </row>
    <row r="153" spans="1:5" x14ac:dyDescent="0.25">
      <c r="A153" t="s">
        <v>545</v>
      </c>
      <c r="B153" s="38">
        <f>1/(PI()*(((VIN_MIN/VOUT)*(1+(B149/B150)))-0.5))</f>
        <v>1.2441667757181689E-2</v>
      </c>
      <c r="E153" t="s">
        <v>546</v>
      </c>
    </row>
    <row r="154" spans="1:5" x14ac:dyDescent="0.25">
      <c r="B154" s="37"/>
    </row>
    <row r="159" spans="1:5" ht="23.25" x14ac:dyDescent="0.35">
      <c r="A159" s="24" t="s">
        <v>376</v>
      </c>
    </row>
    <row r="160" spans="1:5" x14ac:dyDescent="0.25">
      <c r="A160" t="s">
        <v>377</v>
      </c>
      <c r="B160" s="29">
        <f>LM5122_Quickstart!I62*1000</f>
        <v>49900</v>
      </c>
      <c r="C160" t="s">
        <v>96</v>
      </c>
      <c r="D160" t="s">
        <v>382</v>
      </c>
    </row>
    <row r="161" spans="1:6" x14ac:dyDescent="0.25">
      <c r="A161" t="s">
        <v>378</v>
      </c>
      <c r="B161" s="23">
        <f>(RFB_TOP*VREF)/(VOUT-VREF)</f>
        <v>3564.2857142857142</v>
      </c>
      <c r="C161" t="s">
        <v>96</v>
      </c>
      <c r="D161" t="s">
        <v>379</v>
      </c>
    </row>
    <row r="162" spans="1:6" x14ac:dyDescent="0.25">
      <c r="A162" t="s">
        <v>380</v>
      </c>
      <c r="B162" s="29">
        <f>LM5122_Quickstart!I64*1000</f>
        <v>3560</v>
      </c>
      <c r="C162" t="s">
        <v>96</v>
      </c>
      <c r="D162" t="s">
        <v>381</v>
      </c>
    </row>
    <row r="163" spans="1:6" x14ac:dyDescent="0.25">
      <c r="A163" t="s">
        <v>383</v>
      </c>
      <c r="B163" s="23">
        <f>((RFB_TOP/B162)+1)*1.2</f>
        <v>18.020224719101122</v>
      </c>
      <c r="C163" t="s">
        <v>34</v>
      </c>
      <c r="D163" t="s">
        <v>385</v>
      </c>
    </row>
    <row r="164" spans="1:6" x14ac:dyDescent="0.25">
      <c r="A164" t="s">
        <v>384</v>
      </c>
      <c r="B164" s="23">
        <f>1000*B163/(B162+RFB_TOP)</f>
        <v>0.33707865168539325</v>
      </c>
      <c r="C164" t="s">
        <v>422</v>
      </c>
      <c r="D164" t="s">
        <v>386</v>
      </c>
    </row>
    <row r="165" spans="1:6" ht="27" customHeight="1" x14ac:dyDescent="0.25">
      <c r="E165" s="165" t="s">
        <v>415</v>
      </c>
    </row>
    <row r="166" spans="1:6" ht="23.25" x14ac:dyDescent="0.35">
      <c r="A166" s="20" t="s">
        <v>387</v>
      </c>
    </row>
    <row r="167" spans="1:6" x14ac:dyDescent="0.25">
      <c r="A167" t="s">
        <v>388</v>
      </c>
      <c r="B167" s="23">
        <f>IF(fsw/10&lt;RHP_freq/5,fsw/10,RHP_freq/5)</f>
        <v>4677.3869386451452</v>
      </c>
      <c r="C167" t="s">
        <v>70</v>
      </c>
      <c r="D167" t="s">
        <v>426</v>
      </c>
    </row>
    <row r="168" spans="1:6" x14ac:dyDescent="0.25">
      <c r="A168" t="s">
        <v>508</v>
      </c>
      <c r="B168" s="29">
        <f>LM5122_Quickstart!I80*1000</f>
        <v>4680</v>
      </c>
      <c r="C168" t="s">
        <v>70</v>
      </c>
    </row>
    <row r="169" spans="1:6" x14ac:dyDescent="0.25">
      <c r="A169" t="s">
        <v>389</v>
      </c>
      <c r="B169" s="23">
        <f>Fcross*3.1415*Rcs*RFB_TOP*20*COUT*(VOUT/E169)</f>
        <v>86496.247726199988</v>
      </c>
      <c r="C169" t="s">
        <v>390</v>
      </c>
      <c r="D169" t="s">
        <v>688</v>
      </c>
      <c r="E169" s="29">
        <f>LM5122_Quickstart!I82</f>
        <v>12</v>
      </c>
      <c r="F169" t="s">
        <v>689</v>
      </c>
    </row>
    <row r="170" spans="1:6" x14ac:dyDescent="0.25">
      <c r="A170" t="s">
        <v>391</v>
      </c>
      <c r="B170" s="23">
        <f>((VOUT/IOUT_np)*COUT)/(2*Rcomp)</f>
        <v>1.2486090765679129E-8</v>
      </c>
      <c r="C170" t="s">
        <v>354</v>
      </c>
    </row>
    <row r="171" spans="1:6" x14ac:dyDescent="0.25">
      <c r="A171" t="s">
        <v>392</v>
      </c>
      <c r="B171" s="23">
        <f>(RESR*COUT*Ccomp)/(Rcomp*Ccomp-(RESR*COUT))</f>
        <v>3.567454504479751E-10</v>
      </c>
      <c r="C171" t="s">
        <v>354</v>
      </c>
    </row>
    <row r="172" spans="1:6" x14ac:dyDescent="0.25">
      <c r="A172" t="s">
        <v>418</v>
      </c>
      <c r="B172" s="23">
        <f>1/(RFB_TOP*(Ccomp+CHF))</f>
        <v>1560.4092291666664</v>
      </c>
      <c r="C172" t="s">
        <v>118</v>
      </c>
    </row>
    <row r="173" spans="1:6" x14ac:dyDescent="0.25">
      <c r="A173" t="s">
        <v>419</v>
      </c>
      <c r="B173" s="23">
        <f>Rcomp/RFB_TOP</f>
        <v>1.7333917379999997</v>
      </c>
      <c r="C173" t="s">
        <v>118</v>
      </c>
    </row>
    <row r="174" spans="1:6" x14ac:dyDescent="0.25">
      <c r="A174" t="s">
        <v>420</v>
      </c>
      <c r="B174" s="23">
        <f>(1/(Rcomp*Ccomp))/(2*PI())</f>
        <v>147.36568804805123</v>
      </c>
      <c r="C174" t="s">
        <v>70</v>
      </c>
    </row>
    <row r="175" spans="1:6" x14ac:dyDescent="0.25">
      <c r="A175" t="s">
        <v>421</v>
      </c>
      <c r="B175" s="23">
        <f>(1/(Rcomp*CHF))/(2*PI())</f>
        <v>5157.7990816817937</v>
      </c>
      <c r="C175" t="s">
        <v>70</v>
      </c>
    </row>
    <row r="177" spans="1:7" x14ac:dyDescent="0.25">
      <c r="A177" t="s">
        <v>427</v>
      </c>
      <c r="B177" s="29">
        <f>LM5122_Quickstart!I80</f>
        <v>4.68</v>
      </c>
    </row>
    <row r="178" spans="1:7" x14ac:dyDescent="0.25">
      <c r="A178" t="s">
        <v>393</v>
      </c>
      <c r="B178" s="29">
        <f>LM5122_Quickstart!I85*1000</f>
        <v>52800</v>
      </c>
      <c r="C178" t="s">
        <v>390</v>
      </c>
    </row>
    <row r="179" spans="1:7" x14ac:dyDescent="0.25">
      <c r="A179" t="s">
        <v>428</v>
      </c>
      <c r="B179" s="29">
        <f>LM5122_Quickstart!I86*0.000000001</f>
        <v>2.2000000000000002E-8</v>
      </c>
      <c r="C179" t="s">
        <v>354</v>
      </c>
    </row>
    <row r="180" spans="1:7" x14ac:dyDescent="0.25">
      <c r="A180" t="s">
        <v>392</v>
      </c>
      <c r="B180" s="29">
        <f>LM5122_Quickstart!I87*0.000000000001</f>
        <v>5.6000000000000003E-10</v>
      </c>
      <c r="C180" t="s">
        <v>354</v>
      </c>
    </row>
    <row r="181" spans="1:7" ht="23.25" x14ac:dyDescent="0.35">
      <c r="A181" s="20" t="s">
        <v>396</v>
      </c>
    </row>
    <row r="182" spans="1:7" x14ac:dyDescent="0.25">
      <c r="A182" s="15" t="s">
        <v>398</v>
      </c>
      <c r="B182" s="29">
        <f>LM5122_Quickstart!I67</f>
        <v>10</v>
      </c>
      <c r="C182" s="43">
        <f>pTSSmin*10^-3</f>
        <v>0.01</v>
      </c>
    </row>
    <row r="183" spans="1:7" ht="18" x14ac:dyDescent="0.35">
      <c r="A183" s="42" t="s">
        <v>399</v>
      </c>
      <c r="B183" s="23">
        <f>rCss*10^9</f>
        <v>272.72727272727275</v>
      </c>
      <c r="C183" s="43">
        <f>ISS*TSSmin/(1.2*(VOUT-VIN_MAX)/VOUT)</f>
        <v>2.7272727272727274E-7</v>
      </c>
      <c r="F183" t="s">
        <v>401</v>
      </c>
      <c r="G183">
        <f>10*10^-6</f>
        <v>9.9999999999999991E-6</v>
      </c>
    </row>
    <row r="184" spans="1:7" ht="18" x14ac:dyDescent="0.35">
      <c r="A184" s="42" t="s">
        <v>400</v>
      </c>
      <c r="B184" s="23">
        <f>TSSmax*1000</f>
        <v>11.818181818181822</v>
      </c>
      <c r="C184" s="43">
        <f>rCss*1.2/ISS*(1-VIN_MIN/VOUT)</f>
        <v>1.1818181818181821E-2</v>
      </c>
      <c r="F184" t="s">
        <v>404</v>
      </c>
      <c r="G184">
        <v>1.0000000000000001E-5</v>
      </c>
    </row>
    <row r="185" spans="1:7" x14ac:dyDescent="0.25">
      <c r="F185" t="s">
        <v>405</v>
      </c>
      <c r="G185">
        <v>1.2</v>
      </c>
    </row>
    <row r="186" spans="1:7" ht="23.25" x14ac:dyDescent="0.35">
      <c r="A186" s="20" t="s">
        <v>397</v>
      </c>
      <c r="F186" t="s">
        <v>406</v>
      </c>
      <c r="G186">
        <f>0.000007</f>
        <v>6.9999999999999999E-6</v>
      </c>
    </row>
    <row r="187" spans="1:7" ht="18" x14ac:dyDescent="0.35">
      <c r="A187" s="15" t="s">
        <v>402</v>
      </c>
      <c r="B187" s="29">
        <f>LM5122_Quickstart!I72</f>
        <v>11.8</v>
      </c>
      <c r="F187" t="s">
        <v>407</v>
      </c>
      <c r="G187">
        <v>1.1639999999999999</v>
      </c>
    </row>
    <row r="188" spans="1:7" ht="18" x14ac:dyDescent="0.35">
      <c r="A188" s="15" t="s">
        <v>409</v>
      </c>
      <c r="B188" s="29">
        <f>LM5122_Quickstart!I73</f>
        <v>11.5</v>
      </c>
      <c r="F188" t="s">
        <v>411</v>
      </c>
      <c r="G188">
        <v>0.4</v>
      </c>
    </row>
    <row r="189" spans="1:7" ht="18" x14ac:dyDescent="0.35">
      <c r="A189" s="15" t="s">
        <v>408</v>
      </c>
      <c r="B189" s="23">
        <f>LO-UVLO_OFF</f>
        <v>0.30000000000000071</v>
      </c>
      <c r="F189" t="s">
        <v>412</v>
      </c>
      <c r="G189">
        <v>0.1</v>
      </c>
    </row>
    <row r="190" spans="1:7" ht="18" x14ac:dyDescent="0.35">
      <c r="A190" s="15" t="s">
        <v>413</v>
      </c>
      <c r="B190" s="23">
        <f>RUV_upper/1000</f>
        <v>30.000000000000068</v>
      </c>
      <c r="C190">
        <f>VHYS/IHYS</f>
        <v>30000.000000000069</v>
      </c>
    </row>
    <row r="191" spans="1:7" ht="18" x14ac:dyDescent="0.35">
      <c r="A191" s="15" t="s">
        <v>414</v>
      </c>
      <c r="B191" s="23">
        <f>RUV_lower/1000</f>
        <v>5.6490566037735848</v>
      </c>
      <c r="C191">
        <f>UVth*RUV_upper_SEL/(VINSTARTUP-UVth)</f>
        <v>5649.0566037735844</v>
      </c>
    </row>
    <row r="192" spans="1:7" ht="18" x14ac:dyDescent="0.35">
      <c r="A192" s="15" t="s">
        <v>410</v>
      </c>
      <c r="B192" s="29">
        <f>LM5122_Quickstart!I75</f>
        <v>49.9</v>
      </c>
      <c r="C192">
        <f>B192*1000</f>
        <v>49900</v>
      </c>
    </row>
    <row r="193" spans="1:8" x14ac:dyDescent="0.25">
      <c r="A193" s="15"/>
    </row>
    <row r="194" spans="1:8" ht="18" x14ac:dyDescent="0.35">
      <c r="A194" s="15" t="s">
        <v>403</v>
      </c>
      <c r="B194" s="23">
        <f>Uvthmin*(RUV_upper+RUV_lower)/RUV_lower-RUV_upper*(IHYSmin)</f>
        <v>7.135563126252519</v>
      </c>
    </row>
    <row r="195" spans="1:8" ht="23.25" x14ac:dyDescent="0.35">
      <c r="A195" s="20"/>
    </row>
    <row r="197" spans="1:8" ht="23.25" x14ac:dyDescent="0.35">
      <c r="A197" s="143" t="s">
        <v>455</v>
      </c>
    </row>
    <row r="198" spans="1:8" x14ac:dyDescent="0.25">
      <c r="A198" s="142" t="s">
        <v>636</v>
      </c>
    </row>
    <row r="199" spans="1:8" x14ac:dyDescent="0.25">
      <c r="A199" s="141" t="s">
        <v>637</v>
      </c>
      <c r="E199" t="s">
        <v>638</v>
      </c>
    </row>
    <row r="202" spans="1:8" x14ac:dyDescent="0.25">
      <c r="A202" s="142" t="s">
        <v>639</v>
      </c>
    </row>
    <row r="203" spans="1:8" ht="15.75" x14ac:dyDescent="0.3">
      <c r="A203" t="s">
        <v>640</v>
      </c>
      <c r="B203" s="147">
        <f>LM5122_Quickstart!H93*(10^-3)</f>
        <v>0.02</v>
      </c>
      <c r="C203" s="70" t="s">
        <v>459</v>
      </c>
      <c r="E203" s="144" t="s">
        <v>641</v>
      </c>
    </row>
    <row r="204" spans="1:8" ht="15.75" x14ac:dyDescent="0.3">
      <c r="A204" t="s">
        <v>642</v>
      </c>
      <c r="B204" s="148">
        <f>LM5122_Quickstart!H94*(10^-9)</f>
        <v>1.5600000000000001E-8</v>
      </c>
      <c r="C204" t="s">
        <v>354</v>
      </c>
      <c r="E204" s="144" t="s">
        <v>643</v>
      </c>
    </row>
    <row r="205" spans="1:8" ht="15.75" x14ac:dyDescent="0.3">
      <c r="A205" t="s">
        <v>644</v>
      </c>
      <c r="B205" s="148">
        <f>LM5122_Quickstart!H95*(10^-9)</f>
        <v>1.9000000000000001E-9</v>
      </c>
      <c r="C205" t="s">
        <v>354</v>
      </c>
      <c r="E205" s="144" t="s">
        <v>645</v>
      </c>
    </row>
    <row r="206" spans="1:8" ht="15.75" x14ac:dyDescent="0.3">
      <c r="A206" t="s">
        <v>646</v>
      </c>
      <c r="B206" s="148">
        <f>LM5122_Quickstart!H96*(10^-9)</f>
        <v>1.0000000000000001E-9</v>
      </c>
      <c r="C206" t="s">
        <v>354</v>
      </c>
      <c r="E206" s="144" t="s">
        <v>647</v>
      </c>
    </row>
    <row r="207" spans="1:8" ht="15.75" x14ac:dyDescent="0.3">
      <c r="A207" t="s">
        <v>648</v>
      </c>
      <c r="B207" s="29">
        <f>LM5122_Quickstart!H97</f>
        <v>1.34</v>
      </c>
      <c r="C207" s="70" t="s">
        <v>459</v>
      </c>
      <c r="E207" s="144" t="s">
        <v>649</v>
      </c>
    </row>
    <row r="208" spans="1:8" x14ac:dyDescent="0.25">
      <c r="A208" t="s">
        <v>650</v>
      </c>
      <c r="B208" s="21">
        <v>5</v>
      </c>
      <c r="C208" s="70"/>
      <c r="E208" s="167" t="s">
        <v>651</v>
      </c>
      <c r="H208" s="166"/>
    </row>
    <row r="209" spans="1:8" x14ac:dyDescent="0.25">
      <c r="A209" t="s">
        <v>652</v>
      </c>
      <c r="B209" s="145">
        <v>50</v>
      </c>
      <c r="C209" s="70" t="s">
        <v>653</v>
      </c>
      <c r="E209" s="167" t="s">
        <v>691</v>
      </c>
      <c r="H209" s="166"/>
    </row>
    <row r="210" spans="1:8" ht="15.75" x14ac:dyDescent="0.3">
      <c r="A210" t="s">
        <v>655</v>
      </c>
      <c r="B210" s="29">
        <f>LM5122_Quickstart!H98</f>
        <v>0.5</v>
      </c>
      <c r="C210" s="70" t="s">
        <v>34</v>
      </c>
      <c r="E210" s="144" t="s">
        <v>656</v>
      </c>
    </row>
    <row r="211" spans="1:8" x14ac:dyDescent="0.25">
      <c r="A211" t="s">
        <v>231</v>
      </c>
      <c r="B211" s="21">
        <f>VCC</f>
        <v>7.6</v>
      </c>
      <c r="C211" s="70" t="s">
        <v>34</v>
      </c>
      <c r="E211" s="144" t="s">
        <v>657</v>
      </c>
    </row>
    <row r="212" spans="1:8" x14ac:dyDescent="0.25">
      <c r="C212" s="70"/>
      <c r="E212" s="144"/>
    </row>
    <row r="213" spans="1:8" x14ac:dyDescent="0.25">
      <c r="C213" s="70"/>
      <c r="E213" s="144"/>
    </row>
    <row r="214" spans="1:8" x14ac:dyDescent="0.25">
      <c r="A214" t="s">
        <v>658</v>
      </c>
      <c r="B214" s="39">
        <f>vth+(((VOUT*IOUT_np)/VIN_MIN)/gfs)</f>
        <v>0.65652173913043477</v>
      </c>
      <c r="C214" s="70" t="s">
        <v>34</v>
      </c>
      <c r="E214" s="144" t="s">
        <v>659</v>
      </c>
    </row>
    <row r="215" spans="1:8" x14ac:dyDescent="0.25">
      <c r="A215" t="s">
        <v>660</v>
      </c>
      <c r="B215" s="23">
        <f>(Qgd+(Qgs/2))*((Rgate+B208)/(VCC-B214))</f>
        <v>2.1914088916718848E-9</v>
      </c>
      <c r="C215" s="70" t="s">
        <v>71</v>
      </c>
      <c r="E215" s="144" t="s">
        <v>661</v>
      </c>
    </row>
    <row r="216" spans="1:8" ht="15.75" thickBot="1" x14ac:dyDescent="0.3">
      <c r="A216" t="s">
        <v>662</v>
      </c>
      <c r="B216" s="23">
        <f>(Qgd+(Qgs/2))*((B208+Rgate)/B214)</f>
        <v>2.3176688741721857E-8</v>
      </c>
      <c r="C216" t="s">
        <v>71</v>
      </c>
      <c r="E216" s="146" t="s">
        <v>663</v>
      </c>
    </row>
    <row r="219" spans="1:8" x14ac:dyDescent="0.25">
      <c r="A219" s="142" t="s">
        <v>664</v>
      </c>
    </row>
    <row r="220" spans="1:8" ht="15.75" x14ac:dyDescent="0.3">
      <c r="A220" t="s">
        <v>640</v>
      </c>
      <c r="B220" s="29">
        <f>LM5122_Quickstart!H101*(10^-3)</f>
        <v>0.02</v>
      </c>
      <c r="C220" s="70" t="s">
        <v>459</v>
      </c>
      <c r="E220" s="144" t="s">
        <v>641</v>
      </c>
    </row>
    <row r="221" spans="1:8" ht="15.75" x14ac:dyDescent="0.3">
      <c r="A221" t="s">
        <v>642</v>
      </c>
      <c r="B221" s="29">
        <f>LM5122_Quickstart!H102*(10^-9)</f>
        <v>1.5600000000000001E-8</v>
      </c>
      <c r="C221" t="s">
        <v>354</v>
      </c>
      <c r="E221" s="144" t="s">
        <v>643</v>
      </c>
    </row>
    <row r="222" spans="1:8" ht="15.75" x14ac:dyDescent="0.3">
      <c r="A222" t="s">
        <v>644</v>
      </c>
      <c r="B222" s="29">
        <f>LM5122_Quickstart!H103*(10^-9)</f>
        <v>1.9000000000000001E-9</v>
      </c>
      <c r="C222" t="s">
        <v>354</v>
      </c>
      <c r="E222" s="144" t="s">
        <v>645</v>
      </c>
    </row>
    <row r="223" spans="1:8" ht="15.75" x14ac:dyDescent="0.3">
      <c r="A223" t="s">
        <v>646</v>
      </c>
      <c r="B223" s="29">
        <f>LM5122_Quickstart!H104*(10^-9)</f>
        <v>1.0000000000000001E-9</v>
      </c>
      <c r="C223" t="s">
        <v>354</v>
      </c>
      <c r="E223" s="144" t="s">
        <v>647</v>
      </c>
    </row>
    <row r="224" spans="1:8" ht="15.75" x14ac:dyDescent="0.3">
      <c r="A224" t="s">
        <v>648</v>
      </c>
      <c r="B224" s="29">
        <f>LM5122_Quickstart!H105</f>
        <v>1.34</v>
      </c>
      <c r="C224" s="70" t="s">
        <v>459</v>
      </c>
      <c r="E224" s="144" t="s">
        <v>649</v>
      </c>
    </row>
    <row r="225" spans="1:5" x14ac:dyDescent="0.25">
      <c r="A225" t="s">
        <v>650</v>
      </c>
      <c r="B225" s="21">
        <v>5</v>
      </c>
      <c r="C225" s="70"/>
      <c r="E225" s="144" t="s">
        <v>651</v>
      </c>
    </row>
    <row r="226" spans="1:5" ht="15.75" x14ac:dyDescent="0.3">
      <c r="A226" t="s">
        <v>652</v>
      </c>
      <c r="B226" s="145">
        <v>50</v>
      </c>
      <c r="C226" s="70" t="s">
        <v>653</v>
      </c>
      <c r="E226" s="144" t="s">
        <v>654</v>
      </c>
    </row>
    <row r="227" spans="1:5" ht="15.75" x14ac:dyDescent="0.3">
      <c r="A227" t="s">
        <v>655</v>
      </c>
      <c r="B227" s="29">
        <f>LM5122_Quickstart!H106</f>
        <v>0.5</v>
      </c>
      <c r="C227" s="70" t="s">
        <v>34</v>
      </c>
      <c r="E227" s="144" t="s">
        <v>656</v>
      </c>
    </row>
    <row r="228" spans="1:5" x14ac:dyDescent="0.25">
      <c r="A228" t="s">
        <v>231</v>
      </c>
      <c r="B228" s="21">
        <f>VCC</f>
        <v>7.6</v>
      </c>
      <c r="C228" s="70" t="s">
        <v>34</v>
      </c>
      <c r="E228" s="144" t="s">
        <v>657</v>
      </c>
    </row>
    <row r="229" spans="1:5" x14ac:dyDescent="0.25">
      <c r="A229" t="s">
        <v>665</v>
      </c>
      <c r="B229" s="29">
        <f>LM5122_Quickstart!H107*10^-9</f>
        <v>3.3000000000000004E-8</v>
      </c>
      <c r="C229" t="s">
        <v>666</v>
      </c>
      <c r="E229" t="s">
        <v>667</v>
      </c>
    </row>
    <row r="230" spans="1:5" x14ac:dyDescent="0.25">
      <c r="A230" t="s">
        <v>668</v>
      </c>
      <c r="B230" s="29">
        <f>LM5122_Quickstart!H108</f>
        <v>0.7</v>
      </c>
      <c r="C230" t="s">
        <v>34</v>
      </c>
      <c r="E230" t="s">
        <v>669</v>
      </c>
    </row>
    <row r="231" spans="1:5" x14ac:dyDescent="0.25">
      <c r="C231" s="70"/>
      <c r="E231" s="144"/>
    </row>
    <row r="232" spans="1:5" x14ac:dyDescent="0.25">
      <c r="A232" t="s">
        <v>658</v>
      </c>
      <c r="B232" s="39">
        <f>vth+(((VOUT*IOUT_np)/VIN_MIN)/B226)</f>
        <v>0.65652173913043477</v>
      </c>
      <c r="C232" s="70" t="s">
        <v>34</v>
      </c>
      <c r="E232" s="144" t="s">
        <v>659</v>
      </c>
    </row>
    <row r="233" spans="1:5" x14ac:dyDescent="0.25">
      <c r="A233" t="s">
        <v>660</v>
      </c>
      <c r="B233" s="23">
        <f>(B222+(B223/2))*((B224+B225)/(VCC-B232))</f>
        <v>2.1914088916718848E-9</v>
      </c>
      <c r="C233" s="70" t="s">
        <v>71</v>
      </c>
      <c r="E233" s="144" t="s">
        <v>661</v>
      </c>
    </row>
    <row r="234" spans="1:5" ht="15.75" thickBot="1" x14ac:dyDescent="0.3">
      <c r="A234" t="s">
        <v>662</v>
      </c>
      <c r="B234" s="23">
        <f>(Qgd+(Qgs/2))*((B225+Rgate)/B232)</f>
        <v>2.3176688741721857E-8</v>
      </c>
      <c r="C234" t="s">
        <v>71</v>
      </c>
      <c r="E234" s="146" t="s">
        <v>663</v>
      </c>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25"/>
  <sheetViews>
    <sheetView workbookViewId="0">
      <selection activeCell="G44" sqref="G44"/>
    </sheetView>
  </sheetViews>
  <sheetFormatPr baseColWidth="10" defaultColWidth="9.140625" defaultRowHeight="15" x14ac:dyDescent="0.25"/>
  <cols>
    <col min="1" max="1" width="43" customWidth="1"/>
    <col min="2" max="2" width="42.28515625" customWidth="1"/>
    <col min="3" max="3" width="11.7109375" bestFit="1" customWidth="1"/>
    <col min="4" max="5" width="12" bestFit="1" customWidth="1"/>
  </cols>
  <sheetData>
    <row r="1" spans="1:8" s="16" customFormat="1" x14ac:dyDescent="0.25">
      <c r="A1" s="252" t="s">
        <v>136</v>
      </c>
      <c r="B1" s="252"/>
      <c r="C1" s="252"/>
      <c r="D1" s="252"/>
      <c r="E1" s="252"/>
      <c r="F1" s="252"/>
      <c r="G1" s="18"/>
      <c r="H1" s="16" t="s">
        <v>202</v>
      </c>
    </row>
    <row r="2" spans="1:8" s="16" customFormat="1" x14ac:dyDescent="0.25">
      <c r="A2" s="253"/>
      <c r="B2" s="253"/>
      <c r="C2" s="253"/>
      <c r="D2" s="253"/>
      <c r="E2" s="253"/>
      <c r="F2" s="253"/>
    </row>
    <row r="3" spans="1:8" x14ac:dyDescent="0.25">
      <c r="A3" s="1" t="s">
        <v>0</v>
      </c>
      <c r="B3" s="1" t="s">
        <v>1</v>
      </c>
      <c r="C3" s="1" t="s">
        <v>2</v>
      </c>
      <c r="D3" s="1" t="s">
        <v>3</v>
      </c>
      <c r="E3" s="1" t="s">
        <v>4</v>
      </c>
      <c r="F3" s="1" t="s">
        <v>5</v>
      </c>
    </row>
    <row r="4" spans="1:8" x14ac:dyDescent="0.25">
      <c r="A4" s="251" t="s">
        <v>7</v>
      </c>
      <c r="B4" s="251"/>
      <c r="C4" s="251"/>
      <c r="D4" s="251"/>
      <c r="E4" s="251"/>
      <c r="F4" s="251"/>
    </row>
    <row r="5" spans="1:8" x14ac:dyDescent="0.25">
      <c r="A5" s="1" t="s">
        <v>6</v>
      </c>
      <c r="B5" s="1" t="s">
        <v>9</v>
      </c>
      <c r="C5" s="1"/>
      <c r="D5" s="1">
        <f>9*(10^-6)</f>
        <v>9.0000000000000002E-6</v>
      </c>
      <c r="E5" s="1">
        <f>17*(10^-6)</f>
        <v>1.7E-5</v>
      </c>
      <c r="F5" s="1" t="s">
        <v>33</v>
      </c>
    </row>
    <row r="6" spans="1:8" x14ac:dyDescent="0.25">
      <c r="A6" s="1" t="s">
        <v>8</v>
      </c>
      <c r="B6" s="1" t="s">
        <v>10</v>
      </c>
      <c r="C6" s="1"/>
      <c r="D6" s="1">
        <f>4*(10^-3)</f>
        <v>4.0000000000000001E-3</v>
      </c>
      <c r="E6" s="1">
        <f>5*(10^-3)</f>
        <v>5.0000000000000001E-3</v>
      </c>
      <c r="F6" s="1" t="s">
        <v>33</v>
      </c>
    </row>
    <row r="7" spans="1:8" x14ac:dyDescent="0.25">
      <c r="A7" s="17" t="s">
        <v>203</v>
      </c>
      <c r="B7" s="17"/>
      <c r="C7" s="17"/>
      <c r="D7" s="17"/>
      <c r="E7" s="17">
        <v>3</v>
      </c>
      <c r="F7" s="17" t="s">
        <v>34</v>
      </c>
    </row>
    <row r="8" spans="1:8" x14ac:dyDescent="0.25">
      <c r="A8" s="17" t="s">
        <v>204</v>
      </c>
      <c r="B8" s="17"/>
      <c r="C8" s="17"/>
      <c r="D8" s="17"/>
      <c r="E8" s="17">
        <v>4.5</v>
      </c>
      <c r="F8" s="17" t="s">
        <v>34</v>
      </c>
    </row>
    <row r="9" spans="1:8" x14ac:dyDescent="0.25">
      <c r="A9" s="251" t="s">
        <v>11</v>
      </c>
      <c r="B9" s="251"/>
      <c r="C9" s="251"/>
      <c r="D9" s="251"/>
      <c r="E9" s="251"/>
      <c r="F9" s="251"/>
    </row>
    <row r="10" spans="1:8" x14ac:dyDescent="0.25">
      <c r="A10" s="1" t="s">
        <v>12</v>
      </c>
      <c r="B10" s="1" t="s">
        <v>23</v>
      </c>
      <c r="C10" s="1">
        <v>6.9</v>
      </c>
      <c r="D10" s="1">
        <v>7.6</v>
      </c>
      <c r="E10" s="1">
        <v>8.3000000000000007</v>
      </c>
      <c r="F10" s="1" t="s">
        <v>34</v>
      </c>
    </row>
    <row r="11" spans="1:8" x14ac:dyDescent="0.25">
      <c r="A11" s="250" t="s">
        <v>13</v>
      </c>
      <c r="B11" s="1" t="s">
        <v>24</v>
      </c>
      <c r="C11" s="1"/>
      <c r="D11" s="1"/>
      <c r="E11" s="1">
        <v>0.25</v>
      </c>
      <c r="F11" s="1" t="s">
        <v>34</v>
      </c>
    </row>
    <row r="12" spans="1:8" x14ac:dyDescent="0.25">
      <c r="A12" s="250"/>
      <c r="B12" s="1" t="s">
        <v>25</v>
      </c>
      <c r="C12" s="1"/>
      <c r="D12" s="1">
        <v>0.28000000000000003</v>
      </c>
      <c r="E12" s="1">
        <v>0.5</v>
      </c>
      <c r="F12" s="1" t="s">
        <v>34</v>
      </c>
    </row>
    <row r="13" spans="1:8" x14ac:dyDescent="0.25">
      <c r="A13" s="1" t="s">
        <v>14</v>
      </c>
      <c r="B13" s="1" t="s">
        <v>26</v>
      </c>
      <c r="C13" s="1">
        <f>50*(10^-3)</f>
        <v>0.05</v>
      </c>
      <c r="D13" s="1">
        <f>62*(10^-3)</f>
        <v>6.2E-2</v>
      </c>
      <c r="E13" s="1"/>
      <c r="F13" s="1" t="s">
        <v>33</v>
      </c>
    </row>
    <row r="14" spans="1:8" x14ac:dyDescent="0.25">
      <c r="A14" s="250" t="s">
        <v>15</v>
      </c>
      <c r="B14" s="1" t="s">
        <v>27</v>
      </c>
      <c r="C14" s="1"/>
      <c r="D14" s="1">
        <f>3.5*(10^-3)</f>
        <v>3.5000000000000001E-3</v>
      </c>
      <c r="E14" s="1">
        <f>5*(10^-3)</f>
        <v>5.0000000000000001E-3</v>
      </c>
      <c r="F14" s="1" t="s">
        <v>33</v>
      </c>
    </row>
    <row r="15" spans="1:8" x14ac:dyDescent="0.25">
      <c r="A15" s="250"/>
      <c r="B15" s="1" t="s">
        <v>28</v>
      </c>
      <c r="C15" s="1"/>
      <c r="D15" s="1">
        <f>4.5*(10^-3)</f>
        <v>4.5000000000000005E-3</v>
      </c>
      <c r="E15" s="1">
        <f>8*(10^-3)</f>
        <v>8.0000000000000002E-3</v>
      </c>
      <c r="F15" s="1" t="s">
        <v>33</v>
      </c>
    </row>
    <row r="16" spans="1:8" x14ac:dyDescent="0.25">
      <c r="A16" s="250" t="s">
        <v>16</v>
      </c>
      <c r="B16" s="1" t="s">
        <v>29</v>
      </c>
      <c r="C16" s="1">
        <v>3.9</v>
      </c>
      <c r="D16" s="1">
        <v>4</v>
      </c>
      <c r="E16" s="1">
        <v>4.0999999999999996</v>
      </c>
      <c r="F16" s="1" t="s">
        <v>34</v>
      </c>
    </row>
    <row r="17" spans="1:6" x14ac:dyDescent="0.25">
      <c r="A17" s="250"/>
      <c r="B17" s="1" t="s">
        <v>30</v>
      </c>
      <c r="C17" s="1"/>
      <c r="D17" s="1"/>
      <c r="E17" s="1">
        <v>3.7</v>
      </c>
      <c r="F17" s="1" t="s">
        <v>34</v>
      </c>
    </row>
    <row r="18" spans="1:6" x14ac:dyDescent="0.25">
      <c r="A18" s="1" t="s">
        <v>17</v>
      </c>
      <c r="B18" s="1"/>
      <c r="C18" s="1"/>
      <c r="D18" s="1">
        <v>0.38500000000000001</v>
      </c>
      <c r="E18" s="1"/>
      <c r="F18" s="1" t="s">
        <v>34</v>
      </c>
    </row>
    <row r="19" spans="1:6" x14ac:dyDescent="0.25">
      <c r="A19" s="251" t="s">
        <v>18</v>
      </c>
      <c r="B19" s="251"/>
      <c r="C19" s="251"/>
      <c r="D19" s="251"/>
      <c r="E19" s="251"/>
      <c r="F19" s="251"/>
    </row>
    <row r="20" spans="1:6" x14ac:dyDescent="0.25">
      <c r="A20" s="1" t="s">
        <v>19</v>
      </c>
      <c r="B20" s="1" t="s">
        <v>31</v>
      </c>
      <c r="C20" s="1">
        <v>1.17</v>
      </c>
      <c r="D20" s="1">
        <v>1.2</v>
      </c>
      <c r="E20" s="1">
        <v>1.23</v>
      </c>
      <c r="F20" s="1" t="s">
        <v>34</v>
      </c>
    </row>
    <row r="21" spans="1:6" x14ac:dyDescent="0.25">
      <c r="A21" s="1" t="s">
        <v>20</v>
      </c>
      <c r="B21" s="1" t="s">
        <v>32</v>
      </c>
      <c r="C21" s="1">
        <f>7.5*(10^-6)</f>
        <v>7.4999999999999993E-6</v>
      </c>
      <c r="D21" s="1">
        <f>10*(10^-6)</f>
        <v>9.9999999999999991E-6</v>
      </c>
      <c r="E21" s="1">
        <f>13*(10^-6)</f>
        <v>1.2999999999999999E-5</v>
      </c>
      <c r="F21" s="1" t="s">
        <v>33</v>
      </c>
    </row>
    <row r="22" spans="1:6" x14ac:dyDescent="0.25">
      <c r="A22" s="1" t="s">
        <v>21</v>
      </c>
      <c r="B22" s="1" t="s">
        <v>31</v>
      </c>
      <c r="C22" s="1">
        <v>0.3</v>
      </c>
      <c r="D22" s="1">
        <v>0.4</v>
      </c>
      <c r="E22" s="1">
        <v>0.5</v>
      </c>
      <c r="F22" s="1" t="s">
        <v>34</v>
      </c>
    </row>
    <row r="23" spans="1:6" x14ac:dyDescent="0.25">
      <c r="A23" s="1" t="s">
        <v>22</v>
      </c>
      <c r="B23" s="1"/>
      <c r="C23" s="1"/>
      <c r="D23" s="1">
        <v>0.1</v>
      </c>
      <c r="E23" s="1">
        <v>0.125</v>
      </c>
      <c r="F23" s="1" t="s">
        <v>34</v>
      </c>
    </row>
    <row r="24" spans="1:6" x14ac:dyDescent="0.25">
      <c r="A24" s="251" t="s">
        <v>35</v>
      </c>
      <c r="B24" s="251"/>
      <c r="C24" s="251"/>
      <c r="D24" s="251"/>
      <c r="E24" s="251"/>
      <c r="F24" s="251"/>
    </row>
    <row r="25" spans="1:6" x14ac:dyDescent="0.25">
      <c r="A25" s="1" t="s">
        <v>36</v>
      </c>
      <c r="B25" s="1" t="s">
        <v>51</v>
      </c>
      <c r="C25" s="1">
        <v>1.2</v>
      </c>
      <c r="D25" s="1">
        <v>1.24</v>
      </c>
      <c r="E25" s="1">
        <v>1.28</v>
      </c>
      <c r="F25" s="1" t="s">
        <v>34</v>
      </c>
    </row>
    <row r="26" spans="1:6" x14ac:dyDescent="0.25">
      <c r="A26" s="1" t="s">
        <v>37</v>
      </c>
      <c r="B26" s="1"/>
      <c r="C26" s="1"/>
      <c r="D26" s="1">
        <v>0.1</v>
      </c>
      <c r="E26" s="1"/>
      <c r="F26" s="1" t="s">
        <v>34</v>
      </c>
    </row>
    <row r="27" spans="1:6" x14ac:dyDescent="0.25">
      <c r="A27" s="1" t="s">
        <v>38</v>
      </c>
      <c r="B27" s="1"/>
      <c r="C27" s="1">
        <f>145*(10^-3)</f>
        <v>0.14499999999999999</v>
      </c>
      <c r="D27" s="1">
        <f>155*(10^-3)</f>
        <v>0.155</v>
      </c>
      <c r="E27" s="1">
        <f>170*(10^-3)</f>
        <v>0.17</v>
      </c>
      <c r="F27" s="1" t="s">
        <v>34</v>
      </c>
    </row>
    <row r="28" spans="1:6" x14ac:dyDescent="0.25">
      <c r="A28" s="250" t="s">
        <v>39</v>
      </c>
      <c r="B28" s="1" t="s">
        <v>40</v>
      </c>
      <c r="C28" s="1"/>
      <c r="D28" s="1">
        <v>1.29</v>
      </c>
      <c r="E28" s="1"/>
      <c r="F28" s="1" t="s">
        <v>34</v>
      </c>
    </row>
    <row r="29" spans="1:6" x14ac:dyDescent="0.25">
      <c r="A29" s="250"/>
      <c r="B29" s="1" t="s">
        <v>41</v>
      </c>
      <c r="C29" s="1"/>
      <c r="D29" s="1">
        <v>1.2450000000000001</v>
      </c>
      <c r="E29" s="1"/>
      <c r="F29" s="1" t="s">
        <v>34</v>
      </c>
    </row>
    <row r="30" spans="1:6" x14ac:dyDescent="0.25">
      <c r="A30" s="1" t="s">
        <v>42</v>
      </c>
      <c r="B30" s="1"/>
      <c r="C30" s="1"/>
      <c r="D30" s="1">
        <f>40*(10^-3)</f>
        <v>0.04</v>
      </c>
      <c r="E30" s="1"/>
      <c r="F30" s="1" t="s">
        <v>34</v>
      </c>
    </row>
    <row r="31" spans="1:6" x14ac:dyDescent="0.25">
      <c r="A31" s="251" t="s">
        <v>43</v>
      </c>
      <c r="B31" s="251"/>
      <c r="C31" s="251"/>
      <c r="D31" s="251"/>
      <c r="E31" s="251"/>
      <c r="F31" s="251"/>
    </row>
    <row r="32" spans="1:6" x14ac:dyDescent="0.25">
      <c r="A32" s="1" t="s">
        <v>44</v>
      </c>
      <c r="B32" s="1" t="s">
        <v>52</v>
      </c>
      <c r="C32" s="1">
        <v>1.1879999999999999</v>
      </c>
      <c r="D32" s="1">
        <v>1.2</v>
      </c>
      <c r="E32" s="1">
        <v>1.212</v>
      </c>
      <c r="F32" s="1" t="s">
        <v>34</v>
      </c>
    </row>
    <row r="33" spans="1:6" x14ac:dyDescent="0.25">
      <c r="A33" s="1" t="s">
        <v>45</v>
      </c>
      <c r="B33" s="1" t="s">
        <v>53</v>
      </c>
      <c r="C33" s="1"/>
      <c r="D33" s="1">
        <f>5*(10^-9)</f>
        <v>5.0000000000000001E-9</v>
      </c>
      <c r="E33" s="1"/>
      <c r="F33" s="1" t="s">
        <v>33</v>
      </c>
    </row>
    <row r="34" spans="1:6" x14ac:dyDescent="0.25">
      <c r="A34" s="250" t="s">
        <v>46</v>
      </c>
      <c r="B34" s="1" t="s">
        <v>54</v>
      </c>
      <c r="C34" s="1">
        <v>2.75</v>
      </c>
      <c r="D34" s="1"/>
      <c r="E34" s="1"/>
      <c r="F34" s="1" t="s">
        <v>34</v>
      </c>
    </row>
    <row r="35" spans="1:6" x14ac:dyDescent="0.25">
      <c r="A35" s="250"/>
      <c r="B35" s="1" t="s">
        <v>55</v>
      </c>
      <c r="C35" s="1">
        <v>3.4</v>
      </c>
      <c r="D35" s="1"/>
      <c r="E35" s="1"/>
      <c r="F35" s="1" t="s">
        <v>34</v>
      </c>
    </row>
    <row r="36" spans="1:6" x14ac:dyDescent="0.25">
      <c r="A36" s="1" t="s">
        <v>47</v>
      </c>
      <c r="B36" s="1" t="s">
        <v>56</v>
      </c>
      <c r="C36" s="1"/>
      <c r="D36" s="1"/>
      <c r="E36" s="1">
        <v>0.25</v>
      </c>
      <c r="F36" s="1" t="s">
        <v>34</v>
      </c>
    </row>
    <row r="37" spans="1:6" x14ac:dyDescent="0.25">
      <c r="A37" s="1" t="s">
        <v>48</v>
      </c>
      <c r="B37" s="1"/>
      <c r="C37" s="1"/>
      <c r="D37" s="1">
        <v>80</v>
      </c>
      <c r="E37" s="1"/>
      <c r="F37" s="1" t="s">
        <v>69</v>
      </c>
    </row>
    <row r="38" spans="1:6" x14ac:dyDescent="0.25">
      <c r="A38" s="1" t="s">
        <v>49</v>
      </c>
      <c r="B38" s="1"/>
      <c r="C38" s="1"/>
      <c r="D38" s="1">
        <f>3*(10^6)</f>
        <v>3000000</v>
      </c>
      <c r="E38" s="1"/>
      <c r="F38" s="1" t="s">
        <v>70</v>
      </c>
    </row>
    <row r="39" spans="1:6" x14ac:dyDescent="0.25">
      <c r="A39" s="1" t="s">
        <v>50</v>
      </c>
      <c r="B39" s="1" t="s">
        <v>57</v>
      </c>
      <c r="C39" s="1"/>
      <c r="D39" s="1">
        <v>2.7</v>
      </c>
      <c r="E39" s="1">
        <v>3.4</v>
      </c>
      <c r="F39" s="1" t="s">
        <v>34</v>
      </c>
    </row>
    <row r="40" spans="1:6" x14ac:dyDescent="0.25">
      <c r="A40" s="251" t="s">
        <v>58</v>
      </c>
      <c r="B40" s="251"/>
      <c r="C40" s="251"/>
      <c r="D40" s="251"/>
      <c r="E40" s="251"/>
      <c r="F40" s="251"/>
    </row>
    <row r="41" spans="1:6" x14ac:dyDescent="0.25">
      <c r="A41" s="1" t="s">
        <v>59</v>
      </c>
      <c r="B41" s="1" t="s">
        <v>65</v>
      </c>
      <c r="C41" s="1">
        <f>400*(10^3)</f>
        <v>400000</v>
      </c>
      <c r="D41" s="1">
        <f>450*(10^3)</f>
        <v>450000</v>
      </c>
      <c r="E41" s="1">
        <f>500*(10^3)</f>
        <v>500000</v>
      </c>
      <c r="F41" s="1" t="s">
        <v>70</v>
      </c>
    </row>
    <row r="42" spans="1:6" x14ac:dyDescent="0.25">
      <c r="A42" s="1" t="s">
        <v>60</v>
      </c>
      <c r="B42" s="1" t="s">
        <v>66</v>
      </c>
      <c r="C42" s="1">
        <f>775*(10^3)</f>
        <v>775000</v>
      </c>
      <c r="D42" s="1">
        <f>875*(10^3)</f>
        <v>875000</v>
      </c>
      <c r="E42" s="1">
        <f>975*(10^3)</f>
        <v>975000</v>
      </c>
      <c r="F42" s="1" t="s">
        <v>70</v>
      </c>
    </row>
    <row r="43" spans="1:6" x14ac:dyDescent="0.25">
      <c r="A43" s="17" t="s">
        <v>201</v>
      </c>
      <c r="B43" s="17"/>
      <c r="C43" s="17">
        <v>25000</v>
      </c>
      <c r="D43" s="17"/>
      <c r="E43" s="17">
        <f>1*(10^6)</f>
        <v>1000000</v>
      </c>
      <c r="F43" s="17" t="s">
        <v>70</v>
      </c>
    </row>
    <row r="44" spans="1:6" x14ac:dyDescent="0.25">
      <c r="A44" s="1" t="s">
        <v>61</v>
      </c>
      <c r="B44" s="1"/>
      <c r="C44" s="1"/>
      <c r="D44" s="1">
        <v>1.2</v>
      </c>
      <c r="E44" s="1"/>
      <c r="F44" s="1" t="s">
        <v>34</v>
      </c>
    </row>
    <row r="45" spans="1:6" x14ac:dyDescent="0.25">
      <c r="A45" s="1" t="s">
        <v>62</v>
      </c>
      <c r="B45" s="1" t="s">
        <v>67</v>
      </c>
      <c r="C45" s="1"/>
      <c r="D45" s="1">
        <v>2.5</v>
      </c>
      <c r="E45" s="1">
        <v>2.9</v>
      </c>
      <c r="F45" s="1" t="s">
        <v>34</v>
      </c>
    </row>
    <row r="46" spans="1:6" x14ac:dyDescent="0.25">
      <c r="A46" s="1" t="s">
        <v>63</v>
      </c>
      <c r="B46" s="1" t="s">
        <v>68</v>
      </c>
      <c r="C46" s="1">
        <v>1.6</v>
      </c>
      <c r="D46" s="1">
        <v>2</v>
      </c>
      <c r="E46" s="1"/>
      <c r="F46" s="1" t="s">
        <v>34</v>
      </c>
    </row>
    <row r="47" spans="1:6" x14ac:dyDescent="0.25">
      <c r="A47" s="1" t="s">
        <v>64</v>
      </c>
      <c r="B47" s="1"/>
      <c r="C47" s="1">
        <f>100*(10^-9)</f>
        <v>1.0000000000000001E-7</v>
      </c>
      <c r="D47" s="1"/>
      <c r="E47" s="1"/>
      <c r="F47" s="1" t="s">
        <v>71</v>
      </c>
    </row>
    <row r="48" spans="1:6" x14ac:dyDescent="0.25">
      <c r="A48" s="251" t="s">
        <v>79</v>
      </c>
      <c r="B48" s="251"/>
      <c r="C48" s="251"/>
      <c r="D48" s="251"/>
      <c r="E48" s="251"/>
      <c r="F48" s="251"/>
    </row>
    <row r="49" spans="1:6" x14ac:dyDescent="0.25">
      <c r="A49" s="1" t="s">
        <v>80</v>
      </c>
      <c r="B49" s="1" t="s">
        <v>82</v>
      </c>
      <c r="C49" s="1">
        <v>3.3</v>
      </c>
      <c r="D49" s="1">
        <v>4.3</v>
      </c>
      <c r="E49" s="1"/>
      <c r="F49" s="1" t="s">
        <v>34</v>
      </c>
    </row>
    <row r="50" spans="1:6" x14ac:dyDescent="0.25">
      <c r="A50" s="1" t="s">
        <v>81</v>
      </c>
      <c r="B50" s="1" t="s">
        <v>83</v>
      </c>
      <c r="C50" s="1"/>
      <c r="D50" s="1">
        <v>0.15</v>
      </c>
      <c r="E50" s="1">
        <v>0.25</v>
      </c>
      <c r="F50" s="1" t="s">
        <v>34</v>
      </c>
    </row>
    <row r="51" spans="1:6" x14ac:dyDescent="0.25">
      <c r="A51" s="251" t="s">
        <v>84</v>
      </c>
      <c r="B51" s="251"/>
      <c r="C51" s="251"/>
      <c r="D51" s="251"/>
      <c r="E51" s="251"/>
      <c r="F51" s="251"/>
    </row>
    <row r="52" spans="1:6" x14ac:dyDescent="0.25">
      <c r="A52" s="1" t="s">
        <v>85</v>
      </c>
      <c r="B52" s="1" t="s">
        <v>86</v>
      </c>
      <c r="C52" s="1">
        <v>2</v>
      </c>
      <c r="D52" s="1">
        <v>3</v>
      </c>
      <c r="E52" s="1">
        <v>4</v>
      </c>
      <c r="F52" s="1" t="s">
        <v>34</v>
      </c>
    </row>
    <row r="53" spans="1:6" x14ac:dyDescent="0.25">
      <c r="A53" s="251" t="s">
        <v>87</v>
      </c>
      <c r="B53" s="251"/>
      <c r="C53" s="251"/>
      <c r="D53" s="251"/>
      <c r="E53" s="251"/>
      <c r="F53" s="251"/>
    </row>
    <row r="54" spans="1:6" x14ac:dyDescent="0.25">
      <c r="A54" s="1" t="s">
        <v>88</v>
      </c>
      <c r="B54" s="1"/>
      <c r="C54" s="1">
        <v>1.17</v>
      </c>
      <c r="D54" s="1">
        <v>1.2</v>
      </c>
      <c r="E54" s="1">
        <v>1.23</v>
      </c>
      <c r="F54" s="1" t="s">
        <v>34</v>
      </c>
    </row>
    <row r="55" spans="1:6" x14ac:dyDescent="0.25">
      <c r="A55" s="250" t="s">
        <v>89</v>
      </c>
      <c r="B55" s="1" t="s">
        <v>90</v>
      </c>
      <c r="C55" s="1">
        <v>1.375</v>
      </c>
      <c r="D55" s="1">
        <v>1.65</v>
      </c>
      <c r="E55" s="1">
        <v>1.925</v>
      </c>
      <c r="F55" s="1" t="s">
        <v>34</v>
      </c>
    </row>
    <row r="56" spans="1:6" x14ac:dyDescent="0.25">
      <c r="A56" s="250"/>
      <c r="B56" s="1" t="s">
        <v>91</v>
      </c>
      <c r="C56" s="1">
        <v>1.4</v>
      </c>
      <c r="D56" s="1">
        <v>1.65</v>
      </c>
      <c r="E56" s="1">
        <v>1.9</v>
      </c>
      <c r="F56" s="1" t="s">
        <v>34</v>
      </c>
    </row>
    <row r="57" spans="1:6" x14ac:dyDescent="0.25">
      <c r="A57" s="251" t="s">
        <v>92</v>
      </c>
      <c r="B57" s="251"/>
      <c r="C57" s="251"/>
      <c r="D57" s="251"/>
      <c r="E57" s="251"/>
      <c r="F57" s="251"/>
    </row>
    <row r="58" spans="1:6" x14ac:dyDescent="0.25">
      <c r="A58" s="1" t="s">
        <v>93</v>
      </c>
      <c r="B58" s="1" t="s">
        <v>95</v>
      </c>
      <c r="C58" s="1">
        <f>7.5*(10^-6)</f>
        <v>7.4999999999999993E-6</v>
      </c>
      <c r="D58" s="1">
        <f>10*(10^-6)</f>
        <v>9.9999999999999991E-6</v>
      </c>
      <c r="E58" s="1">
        <f>12*(10^-6)</f>
        <v>1.2E-5</v>
      </c>
      <c r="F58" s="1" t="s">
        <v>33</v>
      </c>
    </row>
    <row r="59" spans="1:6" x14ac:dyDescent="0.25">
      <c r="A59" s="1" t="s">
        <v>94</v>
      </c>
      <c r="B59" s="1"/>
      <c r="C59" s="1"/>
      <c r="D59" s="1">
        <v>13</v>
      </c>
      <c r="E59" s="1"/>
      <c r="F59" s="1" t="s">
        <v>96</v>
      </c>
    </row>
    <row r="60" spans="1:6" x14ac:dyDescent="0.25">
      <c r="A60" s="251" t="s">
        <v>97</v>
      </c>
      <c r="B60" s="251"/>
      <c r="C60" s="251"/>
      <c r="D60" s="251"/>
      <c r="E60" s="251"/>
      <c r="F60" s="251"/>
    </row>
    <row r="61" spans="1:6" x14ac:dyDescent="0.25">
      <c r="A61" s="250" t="s">
        <v>98</v>
      </c>
      <c r="B61" s="1" t="s">
        <v>100</v>
      </c>
      <c r="C61" s="1"/>
      <c r="D61" s="1">
        <f>300*(10^-9)</f>
        <v>3.0000000000000004E-7</v>
      </c>
      <c r="E61" s="1">
        <f>400*(10^-9)</f>
        <v>4.0000000000000003E-7</v>
      </c>
      <c r="F61" s="1" t="s">
        <v>71</v>
      </c>
    </row>
    <row r="62" spans="1:6" x14ac:dyDescent="0.25">
      <c r="A62" s="250"/>
      <c r="B62" s="1" t="s">
        <v>101</v>
      </c>
      <c r="C62" s="1"/>
      <c r="D62" s="1">
        <f>560*(10^-9)</f>
        <v>5.6000000000000004E-7</v>
      </c>
      <c r="E62" s="1">
        <f>750*(10^-9)</f>
        <v>7.5000000000000002E-7</v>
      </c>
      <c r="F62" s="1" t="s">
        <v>71</v>
      </c>
    </row>
    <row r="63" spans="1:6" x14ac:dyDescent="0.25">
      <c r="A63" s="250" t="s">
        <v>99</v>
      </c>
      <c r="B63" s="1" t="s">
        <v>102</v>
      </c>
      <c r="C63" s="1"/>
      <c r="D63" s="1">
        <f>150*(10^-9)</f>
        <v>1.5000000000000002E-7</v>
      </c>
      <c r="E63" s="1"/>
      <c r="F63" s="1" t="s">
        <v>71</v>
      </c>
    </row>
    <row r="64" spans="1:6" x14ac:dyDescent="0.25">
      <c r="A64" s="250"/>
      <c r="B64" s="1" t="s">
        <v>103</v>
      </c>
      <c r="C64" s="1"/>
      <c r="D64" s="1">
        <f>300*(10^-9)</f>
        <v>3.0000000000000004E-7</v>
      </c>
      <c r="E64" s="1"/>
      <c r="F64" s="1" t="s">
        <v>71</v>
      </c>
    </row>
    <row r="65" spans="1:6" x14ac:dyDescent="0.25">
      <c r="A65" s="250" t="s">
        <v>99</v>
      </c>
      <c r="B65" s="1" t="s">
        <v>104</v>
      </c>
      <c r="C65" s="1">
        <v>0.95</v>
      </c>
      <c r="D65" s="1">
        <v>1.1000000000000001</v>
      </c>
      <c r="E65" s="1">
        <v>1.25</v>
      </c>
      <c r="F65" s="1" t="s">
        <v>34</v>
      </c>
    </row>
    <row r="66" spans="1:6" x14ac:dyDescent="0.25">
      <c r="A66" s="250"/>
      <c r="B66" s="1" t="s">
        <v>105</v>
      </c>
      <c r="C66" s="1">
        <v>1</v>
      </c>
      <c r="D66" s="1">
        <v>1.1000000000000001</v>
      </c>
      <c r="E66" s="1">
        <v>1.2</v>
      </c>
      <c r="F66" s="1" t="s">
        <v>34</v>
      </c>
    </row>
    <row r="67" spans="1:6" x14ac:dyDescent="0.25">
      <c r="A67" s="251" t="s">
        <v>72</v>
      </c>
      <c r="B67" s="251"/>
      <c r="C67" s="251"/>
      <c r="D67" s="251"/>
      <c r="E67" s="251"/>
      <c r="F67" s="251"/>
    </row>
    <row r="68" spans="1:6" x14ac:dyDescent="0.25">
      <c r="A68" s="250" t="s">
        <v>106</v>
      </c>
      <c r="B68" s="1" t="s">
        <v>112</v>
      </c>
      <c r="C68" s="1">
        <f>65.5*(10^-3)</f>
        <v>6.5500000000000003E-2</v>
      </c>
      <c r="D68" s="1">
        <f>75*(10^-3)</f>
        <v>7.4999999999999997E-2</v>
      </c>
      <c r="E68" s="1">
        <f>87.5*(10^-3)</f>
        <v>8.7500000000000008E-2</v>
      </c>
      <c r="F68" s="1" t="s">
        <v>34</v>
      </c>
    </row>
    <row r="69" spans="1:6" x14ac:dyDescent="0.25">
      <c r="A69" s="250"/>
      <c r="B69" s="1" t="s">
        <v>113</v>
      </c>
      <c r="C69" s="1">
        <f>67*(10^-3)</f>
        <v>6.7000000000000004E-2</v>
      </c>
      <c r="D69" s="1">
        <f>75*(10^-3)</f>
        <v>7.4999999999999997E-2</v>
      </c>
      <c r="E69" s="1">
        <f>86*(10^-3)</f>
        <v>8.6000000000000007E-2</v>
      </c>
      <c r="F69" s="1" t="s">
        <v>34</v>
      </c>
    </row>
    <row r="70" spans="1:6" x14ac:dyDescent="0.25">
      <c r="A70" s="250" t="s">
        <v>107</v>
      </c>
      <c r="B70" s="1" t="s">
        <v>114</v>
      </c>
      <c r="C70" s="1"/>
      <c r="D70" s="1">
        <f>7*(10^-3)</f>
        <v>7.0000000000000001E-3</v>
      </c>
      <c r="E70" s="1"/>
      <c r="F70" s="1" t="s">
        <v>34</v>
      </c>
    </row>
    <row r="71" spans="1:6" x14ac:dyDescent="0.25">
      <c r="A71" s="250"/>
      <c r="B71" s="1" t="s">
        <v>115</v>
      </c>
      <c r="C71" s="1">
        <f>5*(10^-3)</f>
        <v>5.0000000000000001E-3</v>
      </c>
      <c r="D71" s="1">
        <f>6*(10^-3)</f>
        <v>6.0000000000000001E-3</v>
      </c>
      <c r="E71" s="1">
        <f>12*(10^-3)</f>
        <v>1.2E-2</v>
      </c>
      <c r="F71" s="1" t="s">
        <v>34</v>
      </c>
    </row>
    <row r="72" spans="1:6" x14ac:dyDescent="0.25">
      <c r="A72" s="1" t="s">
        <v>108</v>
      </c>
      <c r="B72" s="1"/>
      <c r="C72" s="1"/>
      <c r="D72" s="1">
        <v>10</v>
      </c>
      <c r="E72" s="1"/>
      <c r="F72" s="1" t="s">
        <v>118</v>
      </c>
    </row>
    <row r="73" spans="1:6" x14ac:dyDescent="0.25">
      <c r="A73" s="1" t="s">
        <v>109</v>
      </c>
      <c r="B73" s="1"/>
      <c r="C73" s="1"/>
      <c r="D73" s="1">
        <f>12*(10^-6)</f>
        <v>1.2E-5</v>
      </c>
      <c r="E73" s="1"/>
      <c r="F73" s="1" t="s">
        <v>33</v>
      </c>
    </row>
    <row r="74" spans="1:6" x14ac:dyDescent="0.25">
      <c r="A74" s="1" t="s">
        <v>110</v>
      </c>
      <c r="B74" s="1"/>
      <c r="C74" s="1"/>
      <c r="D74" s="1">
        <f>11*(10^-6)</f>
        <v>1.1E-5</v>
      </c>
      <c r="E74" s="1"/>
      <c r="F74" s="1" t="s">
        <v>33</v>
      </c>
    </row>
    <row r="75" spans="1:6" x14ac:dyDescent="0.25">
      <c r="A75" s="1" t="s">
        <v>73</v>
      </c>
      <c r="B75" s="1" t="s">
        <v>116</v>
      </c>
      <c r="C75" s="1">
        <f>-1.75*(10^-6)</f>
        <v>-1.75E-6</v>
      </c>
      <c r="D75" s="1">
        <f>1*(10^-6)</f>
        <v>9.9999999999999995E-7</v>
      </c>
      <c r="E75" s="1">
        <f>3.75*(10^-6)</f>
        <v>3.7499999999999997E-6</v>
      </c>
      <c r="F75" s="1" t="s">
        <v>33</v>
      </c>
    </row>
    <row r="76" spans="1:6" x14ac:dyDescent="0.25">
      <c r="A76" s="1" t="s">
        <v>111</v>
      </c>
      <c r="B76" s="1" t="s">
        <v>117</v>
      </c>
      <c r="C76" s="1"/>
      <c r="D76" s="1">
        <f>150*(10^-9)</f>
        <v>1.5000000000000002E-7</v>
      </c>
      <c r="E76" s="1"/>
      <c r="F76" s="1" t="s">
        <v>71</v>
      </c>
    </row>
    <row r="77" spans="1:6" x14ac:dyDescent="0.25">
      <c r="A77" s="251" t="s">
        <v>74</v>
      </c>
      <c r="B77" s="251"/>
      <c r="C77" s="251"/>
      <c r="D77" s="251"/>
      <c r="E77" s="251"/>
      <c r="F77" s="251"/>
    </row>
    <row r="78" spans="1:6" x14ac:dyDescent="0.25">
      <c r="A78" s="1" t="s">
        <v>119</v>
      </c>
      <c r="B78" s="1" t="s">
        <v>127</v>
      </c>
      <c r="C78" s="1">
        <v>1.1499999999999999</v>
      </c>
      <c r="D78" s="1">
        <v>1.2</v>
      </c>
      <c r="E78" s="1">
        <v>1.25</v>
      </c>
      <c r="F78" s="1" t="s">
        <v>34</v>
      </c>
    </row>
    <row r="79" spans="1:6" x14ac:dyDescent="0.25">
      <c r="A79" s="250" t="s">
        <v>75</v>
      </c>
      <c r="B79" s="1" t="s">
        <v>127</v>
      </c>
      <c r="C79" s="1"/>
      <c r="D79" s="1">
        <v>4.2</v>
      </c>
      <c r="E79" s="1"/>
      <c r="F79" s="1" t="s">
        <v>34</v>
      </c>
    </row>
    <row r="80" spans="1:6" x14ac:dyDescent="0.25">
      <c r="A80" s="250"/>
      <c r="B80" s="1" t="s">
        <v>128</v>
      </c>
      <c r="C80" s="1"/>
      <c r="D80" s="1">
        <v>3.6</v>
      </c>
      <c r="E80" s="1"/>
      <c r="F80" s="1" t="s">
        <v>34</v>
      </c>
    </row>
    <row r="81" spans="1:6" x14ac:dyDescent="0.25">
      <c r="A81" s="250" t="s">
        <v>76</v>
      </c>
      <c r="B81" s="1" t="s">
        <v>129</v>
      </c>
      <c r="C81" s="1"/>
      <c r="D81" s="1">
        <v>2.15</v>
      </c>
      <c r="E81" s="1"/>
      <c r="F81" s="1" t="s">
        <v>34</v>
      </c>
    </row>
    <row r="82" spans="1:6" x14ac:dyDescent="0.25">
      <c r="A82" s="250"/>
      <c r="B82" s="1" t="s">
        <v>130</v>
      </c>
      <c r="C82" s="1"/>
      <c r="D82" s="1">
        <v>1.85</v>
      </c>
      <c r="E82" s="1"/>
      <c r="F82" s="1" t="s">
        <v>34</v>
      </c>
    </row>
    <row r="83" spans="1:6" x14ac:dyDescent="0.25">
      <c r="A83" s="1" t="s">
        <v>120</v>
      </c>
      <c r="B83" s="1" t="s">
        <v>131</v>
      </c>
      <c r="C83" s="1">
        <f>20*(10^-6)</f>
        <v>1.9999999999999998E-5</v>
      </c>
      <c r="D83" s="1">
        <f>30*(10^-6)</f>
        <v>2.9999999999999997E-5</v>
      </c>
      <c r="E83" s="1">
        <f>40*(10^-6)</f>
        <v>3.9999999999999996E-5</v>
      </c>
      <c r="F83" s="1" t="s">
        <v>33</v>
      </c>
    </row>
    <row r="84" spans="1:6" x14ac:dyDescent="0.25">
      <c r="A84" s="1" t="s">
        <v>121</v>
      </c>
      <c r="B84" s="1" t="s">
        <v>132</v>
      </c>
      <c r="C84" s="1"/>
      <c r="D84" s="1">
        <f>5*(10^-6)</f>
        <v>4.9999999999999996E-6</v>
      </c>
      <c r="E84" s="1"/>
      <c r="F84" s="1" t="s">
        <v>33</v>
      </c>
    </row>
    <row r="85" spans="1:6" x14ac:dyDescent="0.25">
      <c r="A85" s="1" t="s">
        <v>122</v>
      </c>
      <c r="B85" s="1" t="s">
        <v>133</v>
      </c>
      <c r="C85" s="1"/>
      <c r="D85" s="1">
        <f>10*(10^-6)</f>
        <v>9.9999999999999991E-6</v>
      </c>
      <c r="E85" s="1"/>
      <c r="F85" s="1" t="s">
        <v>33</v>
      </c>
    </row>
    <row r="86" spans="1:6" x14ac:dyDescent="0.25">
      <c r="A86" s="1" t="s">
        <v>123</v>
      </c>
      <c r="B86" s="1" t="s">
        <v>134</v>
      </c>
      <c r="C86" s="1"/>
      <c r="D86" s="1">
        <f>5*(10^-6)</f>
        <v>4.9999999999999996E-6</v>
      </c>
      <c r="E86" s="1"/>
      <c r="F86" s="1" t="s">
        <v>33</v>
      </c>
    </row>
    <row r="87" spans="1:6" x14ac:dyDescent="0.25">
      <c r="A87" s="1" t="s">
        <v>124</v>
      </c>
      <c r="B87" s="1"/>
      <c r="C87" s="1"/>
      <c r="D87" s="1">
        <v>8</v>
      </c>
      <c r="E87" s="1"/>
      <c r="F87" s="1" t="s">
        <v>135</v>
      </c>
    </row>
    <row r="88" spans="1:6" x14ac:dyDescent="0.25">
      <c r="A88" s="1" t="s">
        <v>125</v>
      </c>
      <c r="B88" s="1"/>
      <c r="C88" s="1"/>
      <c r="D88" s="1">
        <v>40</v>
      </c>
      <c r="E88" s="1"/>
      <c r="F88" s="1" t="s">
        <v>96</v>
      </c>
    </row>
    <row r="89" spans="1:6" x14ac:dyDescent="0.25">
      <c r="A89" s="1" t="s">
        <v>126</v>
      </c>
      <c r="B89" s="1"/>
      <c r="C89" s="1"/>
      <c r="D89" s="1">
        <v>122</v>
      </c>
      <c r="E89" s="1"/>
      <c r="F89" s="1"/>
    </row>
    <row r="90" spans="1:6" x14ac:dyDescent="0.25">
      <c r="A90" s="251" t="s">
        <v>77</v>
      </c>
      <c r="B90" s="251"/>
      <c r="C90" s="251"/>
      <c r="D90" s="251"/>
      <c r="E90" s="251"/>
      <c r="F90" s="251"/>
    </row>
    <row r="91" spans="1:6" x14ac:dyDescent="0.25">
      <c r="A91" s="1" t="s">
        <v>137</v>
      </c>
      <c r="B91" s="1" t="s">
        <v>146</v>
      </c>
      <c r="C91" s="1"/>
      <c r="D91" s="1">
        <v>0.15</v>
      </c>
      <c r="E91" s="1">
        <v>0.24</v>
      </c>
      <c r="F91" s="1" t="s">
        <v>34</v>
      </c>
    </row>
    <row r="92" spans="1:6" x14ac:dyDescent="0.25">
      <c r="A92" s="1" t="s">
        <v>138</v>
      </c>
      <c r="B92" s="1" t="s">
        <v>147</v>
      </c>
      <c r="C92" s="1"/>
      <c r="D92" s="1">
        <v>0.1</v>
      </c>
      <c r="E92" s="1">
        <v>0.18</v>
      </c>
      <c r="F92" s="1" t="s">
        <v>34</v>
      </c>
    </row>
    <row r="93" spans="1:6" x14ac:dyDescent="0.25">
      <c r="A93" s="1" t="s">
        <v>139</v>
      </c>
      <c r="B93" s="1" t="s">
        <v>148</v>
      </c>
      <c r="C93" s="1"/>
      <c r="D93" s="1">
        <f>25*(10^-9)</f>
        <v>2.5000000000000002E-8</v>
      </c>
      <c r="E93" s="1"/>
      <c r="F93" s="1" t="s">
        <v>71</v>
      </c>
    </row>
    <row r="94" spans="1:6" x14ac:dyDescent="0.25">
      <c r="A94" s="1" t="s">
        <v>140</v>
      </c>
      <c r="B94" s="1" t="s">
        <v>148</v>
      </c>
      <c r="C94" s="1"/>
      <c r="D94" s="1">
        <f>20*(10^-9)</f>
        <v>2E-8</v>
      </c>
      <c r="E94" s="1"/>
      <c r="F94" s="1" t="s">
        <v>71</v>
      </c>
    </row>
    <row r="95" spans="1:6" x14ac:dyDescent="0.25">
      <c r="A95" s="250" t="s">
        <v>141</v>
      </c>
      <c r="B95" s="1" t="s">
        <v>149</v>
      </c>
      <c r="C95" s="1"/>
      <c r="D95" s="1">
        <v>0.8</v>
      </c>
      <c r="E95" s="1"/>
      <c r="F95" s="1" t="s">
        <v>33</v>
      </c>
    </row>
    <row r="96" spans="1:6" x14ac:dyDescent="0.25">
      <c r="A96" s="250"/>
      <c r="B96" s="1" t="s">
        <v>150</v>
      </c>
      <c r="C96" s="1"/>
      <c r="D96" s="1">
        <v>1.9</v>
      </c>
      <c r="E96" s="1"/>
      <c r="F96" s="1" t="s">
        <v>33</v>
      </c>
    </row>
    <row r="97" spans="1:6" x14ac:dyDescent="0.25">
      <c r="A97" s="250" t="s">
        <v>142</v>
      </c>
      <c r="B97" s="1" t="s">
        <v>151</v>
      </c>
      <c r="C97" s="1"/>
      <c r="D97" s="1">
        <v>1.9</v>
      </c>
      <c r="E97" s="1"/>
      <c r="F97" s="1" t="s">
        <v>33</v>
      </c>
    </row>
    <row r="98" spans="1:6" x14ac:dyDescent="0.25">
      <c r="A98" s="250"/>
      <c r="B98" s="1" t="s">
        <v>152</v>
      </c>
      <c r="C98" s="1"/>
      <c r="D98" s="1">
        <v>3.2</v>
      </c>
      <c r="E98" s="1"/>
      <c r="F98" s="1" t="s">
        <v>33</v>
      </c>
    </row>
    <row r="99" spans="1:6" x14ac:dyDescent="0.25">
      <c r="A99" s="1" t="s">
        <v>143</v>
      </c>
      <c r="B99" s="1" t="s">
        <v>153</v>
      </c>
      <c r="C99" s="1">
        <f>100*(10^-6)</f>
        <v>9.9999999999999991E-5</v>
      </c>
      <c r="D99" s="1">
        <f>200*(10^-6)</f>
        <v>1.9999999999999998E-4</v>
      </c>
      <c r="E99" s="1"/>
      <c r="F99" s="1" t="s">
        <v>33</v>
      </c>
    </row>
    <row r="100" spans="1:6" x14ac:dyDescent="0.25">
      <c r="A100" s="250" t="s">
        <v>78</v>
      </c>
      <c r="B100" s="1" t="s">
        <v>154</v>
      </c>
      <c r="C100" s="1">
        <v>5.3</v>
      </c>
      <c r="D100" s="1">
        <v>6.2</v>
      </c>
      <c r="E100" s="1">
        <v>6.75</v>
      </c>
      <c r="F100" s="1" t="s">
        <v>34</v>
      </c>
    </row>
    <row r="101" spans="1:6" x14ac:dyDescent="0.25">
      <c r="A101" s="250"/>
      <c r="B101" s="1" t="s">
        <v>155</v>
      </c>
      <c r="C101" s="1">
        <v>7</v>
      </c>
      <c r="D101" s="1">
        <v>8.5</v>
      </c>
      <c r="E101" s="1">
        <v>9</v>
      </c>
      <c r="F101" s="1" t="s">
        <v>34</v>
      </c>
    </row>
    <row r="102" spans="1:6" x14ac:dyDescent="0.25">
      <c r="A102" s="1" t="s">
        <v>144</v>
      </c>
      <c r="B102" s="1"/>
      <c r="C102" s="1">
        <v>2</v>
      </c>
      <c r="D102" s="1">
        <v>3</v>
      </c>
      <c r="E102" s="1">
        <v>3.5</v>
      </c>
      <c r="F102" s="1" t="s">
        <v>34</v>
      </c>
    </row>
    <row r="103" spans="1:6" x14ac:dyDescent="0.25">
      <c r="A103" s="1" t="s">
        <v>145</v>
      </c>
      <c r="B103" s="1" t="s">
        <v>156</v>
      </c>
      <c r="C103" s="1"/>
      <c r="D103" s="1">
        <f>30*(10^-6)</f>
        <v>2.9999999999999997E-5</v>
      </c>
      <c r="E103" s="1">
        <f>45*(10^-6)</f>
        <v>4.4999999999999996E-5</v>
      </c>
      <c r="F103" s="1" t="s">
        <v>33</v>
      </c>
    </row>
    <row r="104" spans="1:6" x14ac:dyDescent="0.25">
      <c r="A104" s="255" t="s">
        <v>157</v>
      </c>
      <c r="B104" s="256"/>
      <c r="C104" s="256"/>
      <c r="D104" s="256"/>
      <c r="E104" s="256"/>
      <c r="F104" s="257"/>
    </row>
    <row r="105" spans="1:6" x14ac:dyDescent="0.25">
      <c r="A105" s="1" t="s">
        <v>158</v>
      </c>
      <c r="B105" s="1" t="s">
        <v>164</v>
      </c>
      <c r="C105" s="1"/>
      <c r="D105" s="1">
        <v>0.15</v>
      </c>
      <c r="E105" s="1">
        <v>2.5000000000000001E-2</v>
      </c>
      <c r="F105" s="1" t="s">
        <v>34</v>
      </c>
    </row>
    <row r="106" spans="1:6" x14ac:dyDescent="0.25">
      <c r="A106" s="1" t="s">
        <v>159</v>
      </c>
      <c r="B106" s="1" t="s">
        <v>165</v>
      </c>
      <c r="C106" s="1"/>
      <c r="D106" s="1">
        <v>0.1</v>
      </c>
      <c r="E106" s="1">
        <v>0.17</v>
      </c>
      <c r="F106" s="1" t="s">
        <v>34</v>
      </c>
    </row>
    <row r="107" spans="1:6" x14ac:dyDescent="0.25">
      <c r="A107" s="1" t="s">
        <v>160</v>
      </c>
      <c r="B107" s="1" t="s">
        <v>166</v>
      </c>
      <c r="C107" s="1"/>
      <c r="D107" s="1">
        <f>25*(10^-9)</f>
        <v>2.5000000000000002E-8</v>
      </c>
      <c r="E107" s="1"/>
      <c r="F107" s="1" t="s">
        <v>71</v>
      </c>
    </row>
    <row r="108" spans="1:6" x14ac:dyDescent="0.25">
      <c r="A108" s="1" t="s">
        <v>161</v>
      </c>
      <c r="B108" s="1" t="s">
        <v>166</v>
      </c>
      <c r="C108" s="1"/>
      <c r="D108" s="1">
        <f>20*(10^-9)</f>
        <v>2E-8</v>
      </c>
      <c r="E108" s="1"/>
      <c r="F108" s="1" t="s">
        <v>71</v>
      </c>
    </row>
    <row r="109" spans="1:6" x14ac:dyDescent="0.25">
      <c r="A109" s="250" t="s">
        <v>162</v>
      </c>
      <c r="B109" s="1" t="s">
        <v>167</v>
      </c>
      <c r="C109" s="1"/>
      <c r="D109" s="1">
        <v>0.8</v>
      </c>
      <c r="E109" s="1"/>
      <c r="F109" s="1" t="s">
        <v>33</v>
      </c>
    </row>
    <row r="110" spans="1:6" x14ac:dyDescent="0.25">
      <c r="A110" s="250"/>
      <c r="B110" s="1" t="s">
        <v>168</v>
      </c>
      <c r="C110" s="1"/>
      <c r="D110" s="1">
        <v>2</v>
      </c>
      <c r="E110" s="1"/>
      <c r="F110" s="1" t="s">
        <v>33</v>
      </c>
    </row>
    <row r="111" spans="1:6" x14ac:dyDescent="0.25">
      <c r="A111" s="250" t="s">
        <v>163</v>
      </c>
      <c r="B111" s="1" t="s">
        <v>169</v>
      </c>
      <c r="C111" s="1"/>
      <c r="D111" s="1">
        <v>1.8</v>
      </c>
      <c r="E111" s="1"/>
      <c r="F111" s="1" t="s">
        <v>33</v>
      </c>
    </row>
    <row r="112" spans="1:6" x14ac:dyDescent="0.25">
      <c r="A112" s="250"/>
      <c r="B112" s="1" t="s">
        <v>170</v>
      </c>
      <c r="C112" s="1"/>
      <c r="D112" s="1">
        <v>3.2</v>
      </c>
      <c r="E112" s="1"/>
      <c r="F112" s="1" t="s">
        <v>33</v>
      </c>
    </row>
    <row r="113" spans="1:6" x14ac:dyDescent="0.25">
      <c r="A113" s="251" t="s">
        <v>171</v>
      </c>
      <c r="B113" s="251"/>
      <c r="C113" s="251"/>
      <c r="D113" s="251"/>
      <c r="E113" s="251"/>
      <c r="F113" s="251"/>
    </row>
    <row r="114" spans="1:6" x14ac:dyDescent="0.25">
      <c r="A114" s="2" t="s">
        <v>172</v>
      </c>
      <c r="B114" s="1" t="s">
        <v>174</v>
      </c>
      <c r="C114" s="1">
        <f>50*(10^-9)</f>
        <v>5.0000000000000004E-8</v>
      </c>
      <c r="D114" s="1">
        <f>80*(10^-9)</f>
        <v>8.0000000000000002E-8</v>
      </c>
      <c r="E114" s="1">
        <f>115*(10^-9)</f>
        <v>1.1500000000000001E-7</v>
      </c>
      <c r="F114" s="1" t="s">
        <v>71</v>
      </c>
    </row>
    <row r="115" spans="1:6" x14ac:dyDescent="0.25">
      <c r="A115" s="1" t="s">
        <v>173</v>
      </c>
      <c r="B115" s="1" t="s">
        <v>174</v>
      </c>
      <c r="C115" s="1">
        <f>50*(10^-9)</f>
        <v>5.0000000000000004E-8</v>
      </c>
      <c r="D115" s="1">
        <f>80*(10^-9)</f>
        <v>8.0000000000000002E-8</v>
      </c>
      <c r="E115" s="1">
        <f>115*(10^-9)</f>
        <v>1.1500000000000001E-7</v>
      </c>
      <c r="F115" s="1" t="s">
        <v>71</v>
      </c>
    </row>
    <row r="116" spans="1:6" x14ac:dyDescent="0.25">
      <c r="A116" s="254" t="s">
        <v>205</v>
      </c>
      <c r="B116" s="254"/>
      <c r="C116" s="254"/>
      <c r="D116" s="254"/>
      <c r="E116" s="254"/>
      <c r="F116" s="254"/>
    </row>
    <row r="117" spans="1:6" x14ac:dyDescent="0.25">
      <c r="A117" s="250" t="s">
        <v>212</v>
      </c>
      <c r="B117" s="1" t="s">
        <v>206</v>
      </c>
      <c r="C117" s="1">
        <v>-0.3</v>
      </c>
      <c r="D117" s="1"/>
      <c r="E117" s="1">
        <v>75</v>
      </c>
      <c r="F117" s="1" t="s">
        <v>34</v>
      </c>
    </row>
    <row r="118" spans="1:6" x14ac:dyDescent="0.25">
      <c r="A118" s="250"/>
      <c r="B118" s="1" t="s">
        <v>207</v>
      </c>
      <c r="C118" s="1">
        <v>-0.3</v>
      </c>
      <c r="D118" s="1"/>
      <c r="E118" s="1">
        <v>15</v>
      </c>
      <c r="F118" s="1" t="s">
        <v>34</v>
      </c>
    </row>
    <row r="119" spans="1:6" x14ac:dyDescent="0.25">
      <c r="A119" s="250"/>
      <c r="B119" s="1" t="s">
        <v>208</v>
      </c>
      <c r="C119" s="1">
        <v>-5</v>
      </c>
      <c r="D119" s="1"/>
      <c r="E119" s="1">
        <v>105</v>
      </c>
      <c r="F119" s="1" t="s">
        <v>34</v>
      </c>
    </row>
    <row r="120" spans="1:6" x14ac:dyDescent="0.25">
      <c r="A120" s="250"/>
      <c r="B120" s="1" t="s">
        <v>209</v>
      </c>
      <c r="C120" s="1">
        <v>-0.3</v>
      </c>
      <c r="D120" s="1"/>
      <c r="E120" s="1">
        <v>115</v>
      </c>
      <c r="F120" s="1" t="s">
        <v>34</v>
      </c>
    </row>
    <row r="121" spans="1:6" x14ac:dyDescent="0.25">
      <c r="A121" s="250"/>
      <c r="B121" s="1" t="s">
        <v>210</v>
      </c>
      <c r="C121" s="1">
        <v>-0.3</v>
      </c>
      <c r="D121" s="1"/>
      <c r="E121" s="1">
        <v>7</v>
      </c>
      <c r="F121" s="1" t="s">
        <v>34</v>
      </c>
    </row>
    <row r="122" spans="1:6" x14ac:dyDescent="0.25">
      <c r="A122" s="250"/>
      <c r="B122" s="1" t="s">
        <v>211</v>
      </c>
      <c r="C122" s="1">
        <v>-0.3</v>
      </c>
      <c r="D122" s="1"/>
      <c r="E122" s="1">
        <v>0.3</v>
      </c>
      <c r="F122" s="1" t="s">
        <v>34</v>
      </c>
    </row>
    <row r="123" spans="1:6" x14ac:dyDescent="0.25">
      <c r="A123" s="250" t="s">
        <v>216</v>
      </c>
      <c r="B123" s="1" t="s">
        <v>213</v>
      </c>
      <c r="C123" s="1">
        <v>-0.3</v>
      </c>
      <c r="D123" s="1"/>
      <c r="E123" s="1">
        <v>15</v>
      </c>
      <c r="F123" s="1" t="s">
        <v>34</v>
      </c>
    </row>
    <row r="124" spans="1:6" x14ac:dyDescent="0.25">
      <c r="A124" s="250"/>
      <c r="B124" s="1" t="s">
        <v>214</v>
      </c>
      <c r="C124" s="1">
        <v>-0.3</v>
      </c>
      <c r="D124" s="1"/>
      <c r="E124" s="1">
        <f>VCC+0.3</f>
        <v>7.8999999999999995</v>
      </c>
      <c r="F124" s="1" t="s">
        <v>34</v>
      </c>
    </row>
    <row r="125" spans="1:6" x14ac:dyDescent="0.25">
      <c r="A125" s="250"/>
      <c r="B125" s="1" t="s">
        <v>215</v>
      </c>
      <c r="C125" s="1">
        <v>-0.3</v>
      </c>
      <c r="D125" s="1"/>
      <c r="E125" s="1">
        <v>7</v>
      </c>
      <c r="F125" s="1" t="s">
        <v>34</v>
      </c>
    </row>
  </sheetData>
  <mergeCells count="38">
    <mergeCell ref="A31:F31"/>
    <mergeCell ref="A34:A35"/>
    <mergeCell ref="A55:A56"/>
    <mergeCell ref="A51:F51"/>
    <mergeCell ref="A48:F48"/>
    <mergeCell ref="A40:F40"/>
    <mergeCell ref="A4:F4"/>
    <mergeCell ref="A1:F2"/>
    <mergeCell ref="A116:F116"/>
    <mergeCell ref="A111:A112"/>
    <mergeCell ref="A113:F113"/>
    <mergeCell ref="A104:F104"/>
    <mergeCell ref="A90:F90"/>
    <mergeCell ref="A77:F77"/>
    <mergeCell ref="A81:A82"/>
    <mergeCell ref="A97:A98"/>
    <mergeCell ref="A95:A96"/>
    <mergeCell ref="A100:A101"/>
    <mergeCell ref="A109:A110"/>
    <mergeCell ref="A67:F67"/>
    <mergeCell ref="A60:F60"/>
    <mergeCell ref="A57:F57"/>
    <mergeCell ref="A117:A122"/>
    <mergeCell ref="A123:A125"/>
    <mergeCell ref="A24:F24"/>
    <mergeCell ref="A19:F19"/>
    <mergeCell ref="A9:F9"/>
    <mergeCell ref="A53:F53"/>
    <mergeCell ref="A61:A62"/>
    <mergeCell ref="A63:A64"/>
    <mergeCell ref="A65:A66"/>
    <mergeCell ref="A68:A69"/>
    <mergeCell ref="A70:A71"/>
    <mergeCell ref="A79:A80"/>
    <mergeCell ref="A16:A17"/>
    <mergeCell ref="A14:A15"/>
    <mergeCell ref="A11:A12"/>
    <mergeCell ref="A28:A2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BO560"/>
  <sheetViews>
    <sheetView topLeftCell="A7" zoomScale="85" zoomScaleNormal="85" workbookViewId="0">
      <selection activeCell="D58" sqref="D58"/>
    </sheetView>
  </sheetViews>
  <sheetFormatPr baseColWidth="10" defaultColWidth="9.140625" defaultRowHeight="15" x14ac:dyDescent="0.25"/>
  <cols>
    <col min="1" max="1" width="20.42578125" customWidth="1"/>
    <col min="2" max="2" width="19.140625" customWidth="1"/>
    <col min="3" max="3" width="16.5703125" customWidth="1"/>
    <col min="13" max="13" width="17.7109375" customWidth="1"/>
    <col min="14" max="14" width="14.7109375" customWidth="1"/>
    <col min="15" max="15" width="17.7109375" customWidth="1"/>
    <col min="16" max="16" width="16" customWidth="1"/>
    <col min="17" max="17" width="13.140625" customWidth="1"/>
    <col min="31" max="31" width="12.28515625" customWidth="1"/>
    <col min="59" max="59" width="7.85546875" customWidth="1"/>
    <col min="60" max="60" width="11" customWidth="1"/>
    <col min="61" max="61" width="9.7109375" customWidth="1"/>
    <col min="63" max="63" width="13.42578125" customWidth="1"/>
    <col min="64" max="64" width="11.42578125" customWidth="1"/>
  </cols>
  <sheetData>
    <row r="2" spans="1:67" x14ac:dyDescent="0.25">
      <c r="C2" s="68" t="s">
        <v>465</v>
      </c>
      <c r="D2" s="71"/>
    </row>
    <row r="3" spans="1:67" ht="15.75" thickBot="1" x14ac:dyDescent="0.3">
      <c r="C3" s="68" t="s">
        <v>466</v>
      </c>
      <c r="D3" s="72"/>
      <c r="N3" t="s">
        <v>509</v>
      </c>
    </row>
    <row r="4" spans="1:67" ht="15.75" thickBot="1" x14ac:dyDescent="0.3">
      <c r="C4" s="68" t="s">
        <v>467</v>
      </c>
      <c r="D4" s="73"/>
      <c r="M4" s="75"/>
      <c r="N4" s="76"/>
      <c r="O4" s="259" t="s">
        <v>510</v>
      </c>
      <c r="P4" s="259"/>
      <c r="Q4" s="259"/>
      <c r="R4" s="259"/>
      <c r="S4" s="259"/>
      <c r="T4" s="259"/>
      <c r="U4" s="259"/>
      <c r="V4" s="259"/>
      <c r="W4" s="259"/>
      <c r="X4" s="259"/>
      <c r="Y4" s="259"/>
      <c r="Z4" s="259"/>
      <c r="AA4" s="259"/>
      <c r="AB4" s="259"/>
      <c r="AC4" s="259"/>
      <c r="AD4" s="260"/>
      <c r="AE4" s="265" t="s">
        <v>574</v>
      </c>
      <c r="AF4" s="259"/>
      <c r="AG4" s="259"/>
      <c r="AH4" s="259"/>
      <c r="AI4" s="259"/>
      <c r="AJ4" s="259"/>
      <c r="AK4" s="259"/>
      <c r="AL4" s="259"/>
      <c r="AM4" s="259"/>
      <c r="AN4" s="259"/>
      <c r="AO4" s="259"/>
      <c r="AP4" s="259"/>
      <c r="AQ4" s="260"/>
      <c r="AR4" s="265" t="s">
        <v>490</v>
      </c>
      <c r="AS4" s="259"/>
      <c r="AT4" s="259"/>
      <c r="AU4" s="259"/>
      <c r="AV4" s="259"/>
      <c r="AW4" s="259"/>
      <c r="AX4" s="259"/>
      <c r="AY4" s="259"/>
      <c r="AZ4" s="259"/>
      <c r="BA4" s="259"/>
      <c r="BB4" s="259"/>
      <c r="BC4" s="259"/>
      <c r="BD4" s="260"/>
      <c r="BE4" s="265" t="s">
        <v>547</v>
      </c>
      <c r="BF4" s="259"/>
      <c r="BG4" s="260"/>
      <c r="BH4" s="265" t="s">
        <v>575</v>
      </c>
      <c r="BI4" s="259"/>
      <c r="BJ4" s="260"/>
      <c r="BK4" s="266" t="s">
        <v>548</v>
      </c>
      <c r="BL4" s="267"/>
    </row>
    <row r="5" spans="1:67" ht="15.75" thickBot="1" x14ac:dyDescent="0.3">
      <c r="A5" s="66" t="s">
        <v>220</v>
      </c>
      <c r="B5" s="66" t="s">
        <v>439</v>
      </c>
      <c r="C5" s="66" t="s">
        <v>440</v>
      </c>
      <c r="D5" s="67"/>
      <c r="E5" s="258" t="s">
        <v>441</v>
      </c>
      <c r="F5" s="258"/>
      <c r="G5" s="258"/>
      <c r="H5" s="258"/>
      <c r="I5" s="258"/>
      <c r="J5" s="258"/>
      <c r="K5" s="258"/>
      <c r="M5" s="77"/>
      <c r="N5" s="60"/>
      <c r="P5" s="261" t="s">
        <v>476</v>
      </c>
      <c r="Q5" s="261"/>
      <c r="R5" s="261"/>
      <c r="S5" s="262" t="s">
        <v>478</v>
      </c>
      <c r="T5" s="262"/>
      <c r="U5" s="262"/>
      <c r="V5" s="262" t="s">
        <v>478</v>
      </c>
      <c r="W5" s="262"/>
      <c r="X5" s="262"/>
      <c r="Y5" s="262" t="s">
        <v>511</v>
      </c>
      <c r="Z5" s="262"/>
      <c r="AA5" s="262"/>
      <c r="AB5" s="263" t="s">
        <v>512</v>
      </c>
      <c r="AC5" s="262"/>
      <c r="AD5" s="264"/>
      <c r="AE5" s="101"/>
      <c r="AF5" s="261" t="s">
        <v>476</v>
      </c>
      <c r="AG5" s="261"/>
      <c r="AH5" s="261"/>
      <c r="AI5" s="268" t="s">
        <v>478</v>
      </c>
      <c r="AJ5" s="268"/>
      <c r="AK5" s="268"/>
      <c r="AL5" s="262" t="s">
        <v>519</v>
      </c>
      <c r="AM5" s="262"/>
      <c r="AN5" s="262"/>
      <c r="AO5" s="269" t="s">
        <v>512</v>
      </c>
      <c r="AP5" s="268"/>
      <c r="AQ5" s="270"/>
      <c r="AS5" s="262" t="s">
        <v>498</v>
      </c>
      <c r="AT5" s="262"/>
      <c r="AU5" s="262"/>
      <c r="AV5" s="262" t="s">
        <v>499</v>
      </c>
      <c r="AW5" s="262"/>
      <c r="AX5" s="262"/>
      <c r="AY5" s="262" t="s">
        <v>497</v>
      </c>
      <c r="AZ5" s="262"/>
      <c r="BA5" s="262"/>
      <c r="BB5" s="263" t="s">
        <v>512</v>
      </c>
      <c r="BC5" s="262"/>
      <c r="BD5" s="264"/>
      <c r="BE5" s="263" t="s">
        <v>512</v>
      </c>
      <c r="BF5" s="262"/>
      <c r="BG5" s="264"/>
      <c r="BH5" s="263" t="s">
        <v>512</v>
      </c>
      <c r="BI5" s="262"/>
      <c r="BJ5" s="264"/>
      <c r="BK5" s="263" t="s">
        <v>512</v>
      </c>
      <c r="BL5" s="264"/>
    </row>
    <row r="6" spans="1:67" ht="15.75" thickBot="1" x14ac:dyDescent="0.3">
      <c r="A6" s="66"/>
      <c r="B6" s="66"/>
      <c r="C6" s="66"/>
      <c r="D6" s="67"/>
      <c r="E6" s="68"/>
      <c r="F6" s="68"/>
      <c r="G6" s="68"/>
      <c r="H6" s="68"/>
      <c r="I6" s="68"/>
      <c r="J6" s="68"/>
      <c r="K6" s="68"/>
      <c r="M6" s="77"/>
      <c r="N6" s="60"/>
      <c r="O6" s="78" t="s">
        <v>367</v>
      </c>
      <c r="P6" s="79" t="s">
        <v>513</v>
      </c>
      <c r="Q6" s="80" t="s">
        <v>514</v>
      </c>
      <c r="R6" s="80" t="s">
        <v>515</v>
      </c>
      <c r="S6" s="80" t="s">
        <v>513</v>
      </c>
      <c r="T6" s="80" t="s">
        <v>514</v>
      </c>
      <c r="U6" s="80" t="s">
        <v>515</v>
      </c>
      <c r="V6" s="80" t="s">
        <v>513</v>
      </c>
      <c r="W6" s="80" t="s">
        <v>514</v>
      </c>
      <c r="X6" s="80" t="s">
        <v>515</v>
      </c>
      <c r="Y6" s="80" t="s">
        <v>513</v>
      </c>
      <c r="Z6" s="80" t="s">
        <v>514</v>
      </c>
      <c r="AA6" s="80" t="s">
        <v>515</v>
      </c>
      <c r="AB6" s="78" t="s">
        <v>516</v>
      </c>
      <c r="AC6" s="80" t="s">
        <v>514</v>
      </c>
      <c r="AD6" s="81" t="s">
        <v>515</v>
      </c>
      <c r="AE6" s="88" t="s">
        <v>367</v>
      </c>
      <c r="AF6" s="87" t="s">
        <v>513</v>
      </c>
      <c r="AG6" s="87" t="s">
        <v>550</v>
      </c>
      <c r="AH6" s="87" t="s">
        <v>515</v>
      </c>
      <c r="AI6" s="87" t="s">
        <v>513</v>
      </c>
      <c r="AJ6" s="87" t="s">
        <v>550</v>
      </c>
      <c r="AK6" s="87" t="s">
        <v>515</v>
      </c>
      <c r="AL6" s="87" t="s">
        <v>513</v>
      </c>
      <c r="AM6" s="87" t="s">
        <v>550</v>
      </c>
      <c r="AN6" s="87" t="s">
        <v>515</v>
      </c>
      <c r="AO6" s="78" t="s">
        <v>516</v>
      </c>
      <c r="AP6" s="80" t="s">
        <v>514</v>
      </c>
      <c r="AQ6" s="81" t="s">
        <v>515</v>
      </c>
      <c r="AR6" s="78" t="s">
        <v>549</v>
      </c>
      <c r="AS6" s="80" t="s">
        <v>513</v>
      </c>
      <c r="AT6" s="80" t="s">
        <v>550</v>
      </c>
      <c r="AU6" s="80" t="s">
        <v>515</v>
      </c>
      <c r="AV6" s="80" t="s">
        <v>513</v>
      </c>
      <c r="AW6" s="80" t="s">
        <v>550</v>
      </c>
      <c r="AX6" s="80" t="s">
        <v>515</v>
      </c>
      <c r="AY6" s="80" t="s">
        <v>513</v>
      </c>
      <c r="AZ6" s="80" t="s">
        <v>550</v>
      </c>
      <c r="BA6" s="80" t="s">
        <v>515</v>
      </c>
      <c r="BB6" s="78" t="s">
        <v>516</v>
      </c>
      <c r="BC6" s="80" t="s">
        <v>514</v>
      </c>
      <c r="BD6" s="81" t="s">
        <v>515</v>
      </c>
      <c r="BE6" s="78" t="s">
        <v>516</v>
      </c>
      <c r="BF6" s="80" t="s">
        <v>514</v>
      </c>
      <c r="BG6" s="81" t="s">
        <v>515</v>
      </c>
      <c r="BH6" s="78" t="s">
        <v>516</v>
      </c>
      <c r="BI6" s="80" t="s">
        <v>514</v>
      </c>
      <c r="BJ6" s="81" t="s">
        <v>515</v>
      </c>
      <c r="BK6" s="78" t="s">
        <v>514</v>
      </c>
      <c r="BL6" s="81" t="s">
        <v>515</v>
      </c>
    </row>
    <row r="7" spans="1:67" ht="15.75" thickBot="1" x14ac:dyDescent="0.3">
      <c r="A7" s="66"/>
      <c r="B7" s="66"/>
      <c r="C7" s="66"/>
      <c r="D7" s="67"/>
      <c r="E7" s="68"/>
      <c r="F7" s="68"/>
      <c r="G7" s="68"/>
      <c r="H7" s="68"/>
      <c r="I7" s="68"/>
      <c r="J7" s="68"/>
      <c r="K7" s="68"/>
      <c r="M7" s="77" t="s">
        <v>517</v>
      </c>
      <c r="N7" s="76">
        <f>Fcross</f>
        <v>4680</v>
      </c>
      <c r="O7" s="82" t="str">
        <f>COMPLEX(ADC_VINmin,0)</f>
        <v>2,04821668923212</v>
      </c>
      <c r="P7" s="80" t="str">
        <f>IMSUM(COMPLEX(1,0),IMDIV(COMPLEX(0,2*PI()*N7),COMPLEX(wp_lf_VINmin,0)))</f>
        <v>1+3,7048347120785i</v>
      </c>
      <c r="Q7" s="80">
        <f>IMABS(P7)</f>
        <v>3.8374210407279761</v>
      </c>
      <c r="R7" s="80">
        <f t="shared" ref="R7:R13" si="0">IMARGUMENT(P7)</f>
        <v>1.3071613187374282</v>
      </c>
      <c r="S7" s="80" t="str">
        <f>IMSUM(COMPLEX(1,0),IMDIV(COMPLEX(0,2*PI()*N7),COMPLEX(wz_esr_VINmin,0)))</f>
        <v>1+0,882159217128016i</v>
      </c>
      <c r="T7" s="80">
        <f t="shared" ref="T7:T13" si="1">IMABS(S7)</f>
        <v>1.3334934886844834</v>
      </c>
      <c r="U7" s="80">
        <f t="shared" ref="U7:U13" si="2">IMARGUMENT(S7)</f>
        <v>0.72287042026717441</v>
      </c>
      <c r="V7" s="79" t="str">
        <f>IMSUB(COMPLEX(1,0),IMDIV(COMPLEX(0,2*PI()*N7),COMPLEX(wz_RHP_VINmin,0)))</f>
        <v>1-0,200111731673652i</v>
      </c>
      <c r="W7" s="80">
        <f t="shared" ref="W7:W13" si="3">IMABS(V7)</f>
        <v>1.0198258209877937</v>
      </c>
      <c r="X7" s="80">
        <f t="shared" ref="X7:X13" si="4">IMARGUMENT(V7)</f>
        <v>-0.19750299184267969</v>
      </c>
      <c r="Y7" s="79" t="str">
        <f>IMSUM(COMPLEX(1,0),IMDIV(COMPLEX(0,2*PI()*N7),COMPLEX(Q_VINmin*(wsl_VINmin/2),0)),IMDIV(IMPOWER(COMPLEX(0,2*PI()*N7),2),IMPOWER(COMPLEX(wsl_VINmin/2,0),2)))</f>
        <v>0,9985982464+3,00924287086742i</v>
      </c>
      <c r="Z7" s="80">
        <f t="shared" ref="Z7:Z13" si="5">IMABS(Y7)</f>
        <v>3.1706057959922336</v>
      </c>
      <c r="AA7" s="80">
        <f t="shared" ref="AA7:AA13" si="6">IMARGUMENT(Y7)</f>
        <v>1.2503870535864685</v>
      </c>
      <c r="AB7" s="78" t="str">
        <f t="shared" ref="AB7:AB13" si="7">(IMDIV(IMPRODUCT(O7,S7,V7),IMPRODUCT(P7,Y7)))</f>
        <v>-0,101918943470081-0,204996340776745i</v>
      </c>
      <c r="AC7" s="83">
        <f t="shared" ref="AC7:AC13" si="8">20*LOG(IMABS(AB7))</f>
        <v>-12.805777961052323</v>
      </c>
      <c r="AD7" s="79">
        <f t="shared" ref="AD7:AD13" si="9">(180/PI())*IMARGUMENT(AB7)</f>
        <v>-116.43539129234763</v>
      </c>
      <c r="AE7" s="55" t="str">
        <f>COMPLEX($B$67,0)</f>
        <v>21,0353732052265</v>
      </c>
      <c r="AF7" s="56" t="str">
        <f>IMSUM(COMPLEX(1,0),IMDIV(COMPLEX(0,2*PI()*N7),COMPLEX(wp_lf_DCM,0)))</f>
        <v>1+15,8788659083043i</v>
      </c>
      <c r="AG7" s="56">
        <f>IMABS(AF7)</f>
        <v>15.910323143604236</v>
      </c>
      <c r="AH7" s="56">
        <f>IMARGUMENT(AF7)</f>
        <v>1.5079025963808692</v>
      </c>
      <c r="AI7" s="56" t="str">
        <f>IMSUM(COMPLEX(1,0),IMDIV(COMPLEX(0,2*PI()*N7),COMPLEX(wz1_dcm,0)))</f>
        <v>1+0,882159217128016i</v>
      </c>
      <c r="AJ7" s="56">
        <f>IMABS(AI7)</f>
        <v>1.3334934886844834</v>
      </c>
      <c r="AK7" s="56">
        <f>IMARGUMENT(AI7)</f>
        <v>0.72287042026717441</v>
      </c>
      <c r="AL7" s="56" t="str">
        <f t="shared" ref="AL7:AL13" si="10">IMSUB(COMPLEX(1,0),IMDIV(COMPLEX(0,2*PI()*N7),COMPLEX(wz2_dcm,0)))</f>
        <v>1-0,0600233320515753i</v>
      </c>
      <c r="AM7" s="56">
        <f>IMABS(AL7)</f>
        <v>1.0017997805902004</v>
      </c>
      <c r="AN7" s="57">
        <f>IMARGUMENT(AL7)</f>
        <v>-5.9951403446262916E-2</v>
      </c>
      <c r="AO7" s="56" t="str">
        <f>(IMDIV(IMPRODUCT(AE7,AI7,AL7),IMPRODUCT(AF7)))</f>
        <v>1,17231244688385-1,32105697871274i</v>
      </c>
      <c r="AP7" s="56">
        <f>20*LOG(IMABS(AO7))</f>
        <v>4.9408610568542271</v>
      </c>
      <c r="AQ7" s="57">
        <f>(180/PI())*IMARGUMENT(AO7)</f>
        <v>-48.413992866642701</v>
      </c>
      <c r="AR7" s="62" t="str">
        <f t="shared" ref="AR7:AR13" si="11">COMPLEX(adc_ea,0)</f>
        <v>-1,05811623246493</v>
      </c>
      <c r="AS7" s="62" t="str">
        <f t="shared" ref="AS7:AS13" si="12">IMSUM(COMPLEX(1,0), IMDIV(COMPLEX(0,2*PI()*N7), COMPLEX(wp0_ea,0)))</f>
        <v>1+0,869456124401372i</v>
      </c>
      <c r="AT7" s="62">
        <f t="shared" ref="AT7:AT13" si="13">IMABS(AS7)</f>
        <v>1.3251241271137788</v>
      </c>
      <c r="AU7" s="62">
        <f t="shared" ref="AU7:AU13" si="14">IMARGUMENT(AS7)</f>
        <v>0.71568146554707079</v>
      </c>
      <c r="AV7" s="62" t="str">
        <f t="shared" ref="AV7:AV13" si="15">IMSUM(COMPLEX(1,0),IMDIV(COMPLEX(0,2*PI()*N7),COMPLEX(wp1_ea,0)))</f>
        <v>1+0,869456124401372i</v>
      </c>
      <c r="AW7" s="62">
        <f t="shared" ref="AW7:AW13" si="16">IMABS(AV7)</f>
        <v>1.3251241271137788</v>
      </c>
      <c r="AX7" s="62">
        <f t="shared" ref="AX7:AX13" si="17">IMARGUMENT(AV7)</f>
        <v>0.71568146554707079</v>
      </c>
      <c r="AY7" s="62" t="str">
        <f t="shared" ref="AY7:AY13" si="18">IMSUM(COMPLEX(1,0),IMDIV(COMPLEX(wz_ea,0),COMPLEX(0,2*PI()*N7)))</f>
        <v>1-0,0292764002002644i</v>
      </c>
      <c r="AZ7" s="62">
        <f t="shared" ref="AZ7:AZ13" si="19">IMABS(AY7)</f>
        <v>1.0004284620144941</v>
      </c>
      <c r="BA7" s="62">
        <f t="shared" ref="BA7:BA13" si="20">IMARGUMENT(AY7)</f>
        <v>-2.9268040157328434E-2</v>
      </c>
      <c r="BB7" s="61" t="str">
        <f>IMDIV(IMPRODUCT(AR7,AY7), AS7)</f>
        <v>-0,587249092382424+0,541565154201085i</v>
      </c>
      <c r="BC7" s="62">
        <f t="shared" ref="BC7:BC13" si="21">20*LOG(IMABS(BB7))</f>
        <v>-1.9507429138557264</v>
      </c>
      <c r="BD7" s="63">
        <f t="shared" ref="BD7:BD13" si="22">(180/PI())*IMARGUMENT(BB7)</f>
        <v>137.31753737278106</v>
      </c>
      <c r="BE7" s="61" t="str">
        <f>IMPRODUCT(AB7,BB7)</f>
        <v>0,170870681952797+0,0651881667264755i</v>
      </c>
      <c r="BF7" s="64">
        <f t="shared" ref="BF7:BF13" si="23">20*LOG(IMABS(BE7))</f>
        <v>-14.756520874908032</v>
      </c>
      <c r="BG7" s="63">
        <f t="shared" ref="BG7:BG13" si="24">(180/PI())*IMARGUMENT(BE7)</f>
        <v>20.882146080433397</v>
      </c>
      <c r="BH7" s="61" t="str">
        <f>IMPRODUCT(AO7,BB7)</f>
        <v>0,026999005963825+1,41067308280303i</v>
      </c>
      <c r="BI7" s="64">
        <f t="shared" ref="BI7:BI13" si="25">20*LOG(IMABS(BH7))</f>
        <v>2.9901181429985209</v>
      </c>
      <c r="BJ7" s="63">
        <f t="shared" ref="BJ7:BJ13" si="26">(180/PI())*IMARGUMENT(BH7)</f>
        <v>88.903544506138374</v>
      </c>
      <c r="BK7" s="100">
        <f>IF($B$19=0,BF7,BI7)</f>
        <v>-14.756520874908032</v>
      </c>
      <c r="BL7" s="60">
        <f>IF($B$19=0,BG7,BJ7)</f>
        <v>20.882146080433397</v>
      </c>
    </row>
    <row r="8" spans="1:67" ht="15.75" thickBot="1" x14ac:dyDescent="0.3">
      <c r="A8" s="69" t="s">
        <v>442</v>
      </c>
      <c r="B8" s="66"/>
      <c r="C8" s="66"/>
      <c r="D8" s="67"/>
      <c r="E8" s="68"/>
      <c r="F8" s="68"/>
      <c r="G8" s="68"/>
      <c r="H8" s="68"/>
      <c r="I8" s="68"/>
      <c r="J8" s="68"/>
      <c r="K8" s="68"/>
      <c r="M8" s="75" t="s">
        <v>518</v>
      </c>
      <c r="N8" s="76">
        <f>Fcross</f>
        <v>4680</v>
      </c>
      <c r="O8" s="82" t="str">
        <f t="shared" ref="O8:O13" si="27">COMPLEX(adc,0)</f>
        <v>13,7404580152672</v>
      </c>
      <c r="P8" s="80" t="str">
        <f t="shared" ref="P8:P13" si="28">IMSUM(COMPLEX(1,0),IMDIV(COMPLEX(0,2*PI()*N8),COMPLEX(wp_lf,0)))</f>
        <v>1+31,7577318166085i</v>
      </c>
      <c r="Q8" s="80">
        <f t="shared" ref="Q8:Q13" si="29">IMABS(P8)</f>
        <v>31.77347211331535</v>
      </c>
      <c r="R8" s="80">
        <f t="shared" si="0"/>
        <v>1.5393183328399687</v>
      </c>
      <c r="S8" s="80" t="str">
        <f t="shared" ref="S8:S13" si="30">IMSUM(COMPLEX(1,0),IMDIV(COMPLEX(0,2*PI()*N8),COMPLEX(wz_esr,0)))</f>
        <v>1+0,882159217128016i</v>
      </c>
      <c r="T8" s="80">
        <f t="shared" si="1"/>
        <v>1.3334934886844834</v>
      </c>
      <c r="U8" s="80">
        <f t="shared" si="2"/>
        <v>0.72287042026717441</v>
      </c>
      <c r="V8" s="79" t="str">
        <f t="shared" ref="V8:V13" si="31">IMSUB(COMPLEX(1,0),IMDIV(COMPLEX(0,2*PI()*N8),COMPLEX(wz_rhp,0)))</f>
        <v>1-0,183783170235003i</v>
      </c>
      <c r="W8" s="80">
        <f t="shared" si="3"/>
        <v>1.0167478810706361</v>
      </c>
      <c r="X8" s="80">
        <f t="shared" si="4"/>
        <v>-0.18175494869438563</v>
      </c>
      <c r="Y8" s="79" t="str">
        <f t="shared" ref="Y8:Y13" si="32">IMSUM(COMPLEX(1,0),IMDIV(COMPLEX(0,2*PI()*N8),COMPLEX(Q*(wsl/2),0)),IMDIV(IMPOWER(COMPLEX(0,2*PI()*N8),2),IMPOWER(COMPLEX(wsl/2,0),2)))</f>
        <v>0,9985982464+0,318894197065276i</v>
      </c>
      <c r="Z8" s="80">
        <f t="shared" si="5"/>
        <v>1.0482804808995836</v>
      </c>
      <c r="AA8" s="80">
        <f t="shared" si="6"/>
        <v>0.30910580189502374</v>
      </c>
      <c r="AB8" s="78" t="str">
        <f t="shared" si="7"/>
        <v>0,145675531805169-0,540020021180662i</v>
      </c>
      <c r="AC8" s="83">
        <f t="shared" si="8"/>
        <v>-5.0467358053806919</v>
      </c>
      <c r="AD8" s="79">
        <f t="shared" si="9"/>
        <v>-74.903268920084074</v>
      </c>
      <c r="AE8" s="58" t="str">
        <f t="shared" ref="AE8:AE13" si="33">COMPLEX($B$67,0)</f>
        <v>21,0353732052265</v>
      </c>
      <c r="AF8" t="str">
        <f t="shared" ref="AF8:AF13" si="34">IMSUM(COMPLEX(1,0),IMDIV(COMPLEX(0,2*PI()*N8),COMPLEX(wp_lf_DCM,0)))</f>
        <v>1+15,8788659083043i</v>
      </c>
      <c r="AG8">
        <f t="shared" ref="AG8:AG13" si="35">IMABS(AF8)</f>
        <v>15.910323143604236</v>
      </c>
      <c r="AH8">
        <f t="shared" ref="AH8:AH13" si="36">IMARGUMENT(AF8)</f>
        <v>1.5079025963808692</v>
      </c>
      <c r="AI8" t="str">
        <f t="shared" ref="AI8:AI13" si="37">IMSUM(COMPLEX(1,0),IMDIV(COMPLEX(0,2*PI()*N8),COMPLEX(wz1_dcm,0)))</f>
        <v>1+0,882159217128016i</v>
      </c>
      <c r="AJ8">
        <f t="shared" ref="AJ8:AJ13" si="38">IMABS(AI8)</f>
        <v>1.3334934886844834</v>
      </c>
      <c r="AK8">
        <f t="shared" ref="AK8:AK13" si="39">IMARGUMENT(AI8)</f>
        <v>0.72287042026717441</v>
      </c>
      <c r="AL8" t="str">
        <f t="shared" si="10"/>
        <v>1-0,0600233320515753i</v>
      </c>
      <c r="AM8">
        <f t="shared" ref="AM8:AM13" si="40">IMABS(AL8)</f>
        <v>1.0017997805902004</v>
      </c>
      <c r="AN8" s="60">
        <f t="shared" ref="AN8:AN13" si="41">IMARGUMENT(AL8)</f>
        <v>-5.9951403446262916E-2</v>
      </c>
      <c r="AO8" t="str">
        <f t="shared" ref="AO8:AO13" si="42">(IMDIV(IMPRODUCT(AE8,AI8,AL8),IMPRODUCT(AF8)))</f>
        <v>1,17231244688385-1,32105697871274i</v>
      </c>
      <c r="AP8">
        <f t="shared" ref="AP8:AP13" si="43">20*LOG(IMABS(AO8))</f>
        <v>4.9408610568542271</v>
      </c>
      <c r="AQ8" s="60">
        <f t="shared" ref="AQ8:AQ13" si="44">(180/PI())*IMARGUMENT(AO8)</f>
        <v>-48.413992866642701</v>
      </c>
      <c r="AR8" s="79" t="str">
        <f t="shared" si="11"/>
        <v>-1,05811623246493</v>
      </c>
      <c r="AS8" s="62" t="str">
        <f t="shared" si="12"/>
        <v>1+0,869456124401372i</v>
      </c>
      <c r="AT8" s="79">
        <f t="shared" si="13"/>
        <v>1.3251241271137788</v>
      </c>
      <c r="AU8" s="79">
        <f t="shared" si="14"/>
        <v>0.71568146554707079</v>
      </c>
      <c r="AV8" s="62" t="str">
        <f t="shared" si="15"/>
        <v>1+0,869456124401372i</v>
      </c>
      <c r="AW8" s="79">
        <f t="shared" si="16"/>
        <v>1.3251241271137788</v>
      </c>
      <c r="AX8" s="79">
        <f t="shared" si="17"/>
        <v>0.71568146554707079</v>
      </c>
      <c r="AY8" s="62" t="str">
        <f t="shared" si="18"/>
        <v>1-0,0292764002002644i</v>
      </c>
      <c r="AZ8" s="79">
        <f t="shared" si="19"/>
        <v>1.0004284620144941</v>
      </c>
      <c r="BA8" s="79">
        <f t="shared" si="20"/>
        <v>-2.9268040157328434E-2</v>
      </c>
      <c r="BB8" s="61" t="str">
        <f t="shared" ref="BB8:BB13" si="45">IMDIV(IMPRODUCT(AR8,AY8), AS8)</f>
        <v>-0,587249092382424+0,541565154201085i</v>
      </c>
      <c r="BC8" s="79">
        <f t="shared" si="21"/>
        <v>-1.9507429138557264</v>
      </c>
      <c r="BD8" s="76">
        <f t="shared" si="22"/>
        <v>137.31753737278106</v>
      </c>
      <c r="BE8" s="61" t="str">
        <f t="shared" ref="BE8:BE13" si="46">IMPRODUCT(AB8,BB8)</f>
        <v>0,206908202207466+0,396019059152072i</v>
      </c>
      <c r="BF8" s="83">
        <f t="shared" si="23"/>
        <v>-6.9974787192364243</v>
      </c>
      <c r="BG8" s="76">
        <f t="shared" si="24"/>
        <v>62.414268452696966</v>
      </c>
      <c r="BH8" s="99" t="str">
        <f t="shared" ref="BH8:BH13" si="47">IMPRODUCT(AO8,BB8)</f>
        <v>0,026999005963825+1,41067308280303i</v>
      </c>
      <c r="BI8" s="83">
        <f t="shared" si="25"/>
        <v>2.9901181429985209</v>
      </c>
      <c r="BJ8" s="76">
        <f t="shared" si="26"/>
        <v>88.903544506138374</v>
      </c>
      <c r="BK8" s="100">
        <f t="shared" ref="BK8:BK13" si="48">IF($B$19=0,BF8,BI8)</f>
        <v>-6.9974787192364243</v>
      </c>
      <c r="BL8" s="60">
        <f t="shared" ref="BL8:BL13" si="49">IF($B$19=0,BG8,BJ8)</f>
        <v>62.414268452696966</v>
      </c>
    </row>
    <row r="9" spans="1:67" ht="15.75" thickBot="1" x14ac:dyDescent="0.3">
      <c r="A9" t="s">
        <v>443</v>
      </c>
      <c r="B9" s="29">
        <f>VIN_MIN</f>
        <v>11.5</v>
      </c>
      <c r="C9" t="s">
        <v>34</v>
      </c>
      <c r="E9" t="s">
        <v>444</v>
      </c>
      <c r="M9" s="84" t="s">
        <v>519</v>
      </c>
      <c r="N9" s="85">
        <f>wz_rhp/(2*PI())</f>
        <v>25464.790894703248</v>
      </c>
      <c r="O9" s="86" t="str">
        <f t="shared" si="27"/>
        <v>13,7404580152672</v>
      </c>
      <c r="P9" s="87" t="str">
        <f t="shared" si="28"/>
        <v>1+172,8i</v>
      </c>
      <c r="Q9" s="87">
        <f t="shared" si="29"/>
        <v>172.8028934942931</v>
      </c>
      <c r="R9" s="87">
        <f t="shared" si="0"/>
        <v>1.5650093543587946</v>
      </c>
      <c r="S9" s="87" t="str">
        <f t="shared" si="30"/>
        <v>1+4,80000000000001i</v>
      </c>
      <c r="T9" s="87">
        <f t="shared" si="1"/>
        <v>4.9030602688525144</v>
      </c>
      <c r="U9" s="87">
        <f t="shared" si="2"/>
        <v>1.3654009376051297</v>
      </c>
      <c r="V9" s="56" t="str">
        <f t="shared" si="31"/>
        <v>1-i</v>
      </c>
      <c r="W9" s="87">
        <f t="shared" si="3"/>
        <v>1.4142135623730951</v>
      </c>
      <c r="X9" s="87">
        <f t="shared" si="4"/>
        <v>-0.78539816339744828</v>
      </c>
      <c r="Y9" s="56" t="str">
        <f t="shared" si="32"/>
        <v>0,958498843180098+1,73516539440204i</v>
      </c>
      <c r="Z9" s="87">
        <f t="shared" si="5"/>
        <v>1.9823014347742307</v>
      </c>
      <c r="AA9" s="87">
        <f t="shared" si="6"/>
        <v>1.0661152524061728</v>
      </c>
      <c r="AB9" s="88" t="str">
        <f t="shared" si="7"/>
        <v>-0,128519346049303-0,246666539844249i</v>
      </c>
      <c r="AC9" s="89">
        <f t="shared" si="8"/>
        <v>-11.114745332033408</v>
      </c>
      <c r="AD9" s="56">
        <f t="shared" si="9"/>
        <v>-117.52062427267154</v>
      </c>
      <c r="AE9" s="58" t="str">
        <f t="shared" si="33"/>
        <v>21,0353732052265</v>
      </c>
      <c r="AF9" t="str">
        <f t="shared" si="34"/>
        <v>1+86,4000000000001i</v>
      </c>
      <c r="AG9">
        <f t="shared" si="35"/>
        <v>86.405786843243419</v>
      </c>
      <c r="AH9">
        <f t="shared" si="36"/>
        <v>1.5592227694971523</v>
      </c>
      <c r="AI9" t="str">
        <f t="shared" si="37"/>
        <v>1+4,80000000000001i</v>
      </c>
      <c r="AJ9">
        <f t="shared" si="38"/>
        <v>4.9030602688525144</v>
      </c>
      <c r="AK9">
        <f t="shared" si="39"/>
        <v>1.3654009376051297</v>
      </c>
      <c r="AL9" t="str">
        <f t="shared" si="10"/>
        <v>1-0,32659863237109i</v>
      </c>
      <c r="AM9">
        <f t="shared" si="40"/>
        <v>1.0519822558706333</v>
      </c>
      <c r="AN9" s="60">
        <f t="shared" si="41"/>
        <v>-0.31567712724199498</v>
      </c>
      <c r="AO9" t="str">
        <f t="shared" si="42"/>
        <v>1,09620507217625-0,612450971183032i</v>
      </c>
      <c r="AP9">
        <f t="shared" si="43"/>
        <v>1.9776607668425084</v>
      </c>
      <c r="AQ9" s="60">
        <f t="shared" si="44"/>
        <v>-29.192140024687571</v>
      </c>
      <c r="AR9" s="56" t="str">
        <f t="shared" si="11"/>
        <v>-1,05811623246493</v>
      </c>
      <c r="AS9" s="62" t="str">
        <f t="shared" si="12"/>
        <v>1+4,73088i</v>
      </c>
      <c r="AT9" s="56">
        <f t="shared" si="13"/>
        <v>4.8354136921674034</v>
      </c>
      <c r="AU9" s="56">
        <f t="shared" si="14"/>
        <v>1.3624855018405064</v>
      </c>
      <c r="AV9" s="62" t="str">
        <f t="shared" si="15"/>
        <v>1+4,73088i</v>
      </c>
      <c r="AW9" s="56">
        <f t="shared" si="16"/>
        <v>4.8354136921674034</v>
      </c>
      <c r="AX9" s="56">
        <f t="shared" si="17"/>
        <v>1.3624855018405064</v>
      </c>
      <c r="AY9" s="62" t="str">
        <f t="shared" si="18"/>
        <v>1-0,00538050964187328i</v>
      </c>
      <c r="AZ9" s="56">
        <f t="shared" si="19"/>
        <v>1.0000144748372426</v>
      </c>
      <c r="BA9" s="56">
        <f t="shared" si="20"/>
        <v>-5.3804577210651286E-3</v>
      </c>
      <c r="BB9" s="61" t="str">
        <f t="shared" si="45"/>
        <v>-0,0441030074085807+0,214339240280106i</v>
      </c>
      <c r="BC9" s="56">
        <f t="shared" si="21"/>
        <v>-13.197879454355741</v>
      </c>
      <c r="BD9" s="57">
        <f t="shared" si="22"/>
        <v>101.62705357750943</v>
      </c>
      <c r="BE9" s="61" t="str">
        <f t="shared" si="46"/>
        <v>0,0585384084236972-0,0166680027593038i</v>
      </c>
      <c r="BF9" s="89">
        <f t="shared" si="23"/>
        <v>-24.312624786389151</v>
      </c>
      <c r="BG9" s="57">
        <f t="shared" si="24"/>
        <v>-15.893570695162147</v>
      </c>
      <c r="BH9" s="99" t="str">
        <f t="shared" si="47"/>
        <v>0,0829263354526713+0,261970692080934i</v>
      </c>
      <c r="BI9" s="89">
        <f t="shared" si="25"/>
        <v>-11.220218687513228</v>
      </c>
      <c r="BJ9" s="57">
        <f t="shared" si="26"/>
        <v>72.434913552821882</v>
      </c>
      <c r="BK9" s="100">
        <f t="shared" si="48"/>
        <v>-24.312624786389151</v>
      </c>
      <c r="BL9" s="60">
        <f t="shared" si="49"/>
        <v>-15.893570695162147</v>
      </c>
    </row>
    <row r="10" spans="1:67" ht="15.75" thickBot="1" x14ac:dyDescent="0.3">
      <c r="A10" t="s">
        <v>445</v>
      </c>
      <c r="B10" s="29">
        <f>VIN_TYP</f>
        <v>12</v>
      </c>
      <c r="C10" t="s">
        <v>34</v>
      </c>
      <c r="E10" t="s">
        <v>446</v>
      </c>
      <c r="M10" s="77" t="s">
        <v>478</v>
      </c>
      <c r="N10" s="90">
        <f>wz_esr/(2*PI())</f>
        <v>5305.1647697298449</v>
      </c>
      <c r="O10" s="91" t="str">
        <f t="shared" si="27"/>
        <v>13,7404580152672</v>
      </c>
      <c r="P10" s="67" t="str">
        <f t="shared" si="28"/>
        <v>1+36i</v>
      </c>
      <c r="Q10" s="67">
        <f t="shared" si="29"/>
        <v>36.013886210738214</v>
      </c>
      <c r="R10" s="67">
        <f t="shared" si="0"/>
        <v>1.5430256902014756</v>
      </c>
      <c r="S10" s="67" t="str">
        <f t="shared" si="30"/>
        <v>1+i</v>
      </c>
      <c r="T10" s="67">
        <f t="shared" si="1"/>
        <v>1.4142135623730951</v>
      </c>
      <c r="U10" s="67">
        <f t="shared" si="2"/>
        <v>0.78539816339744828</v>
      </c>
      <c r="V10" t="str">
        <f t="shared" si="31"/>
        <v>1-0,208333333333333i</v>
      </c>
      <c r="W10" s="67">
        <f t="shared" si="3"/>
        <v>1.0214708893442719</v>
      </c>
      <c r="X10" s="67">
        <f t="shared" si="4"/>
        <v>-0.20539538918976707</v>
      </c>
      <c r="Y10" t="str">
        <f t="shared" si="32"/>
        <v>0,998198734513025+0,361492790500424i</v>
      </c>
      <c r="Z10" s="67">
        <f t="shared" si="5"/>
        <v>1.0616391812509502</v>
      </c>
      <c r="AA10" s="67">
        <f t="shared" si="6"/>
        <v>0.34745328059427827</v>
      </c>
      <c r="AB10" s="92" t="str">
        <f t="shared" si="7"/>
        <v>0,13362471503423-0,501661397457117i</v>
      </c>
      <c r="AC10" s="37">
        <f t="shared" si="8"/>
        <v>-5.6940944971754082</v>
      </c>
      <c r="AD10">
        <f t="shared" si="9"/>
        <v>-75.084755216852756</v>
      </c>
      <c r="AE10" s="58" t="str">
        <f t="shared" si="33"/>
        <v>21,0353732052265</v>
      </c>
      <c r="AF10" t="str">
        <f t="shared" si="34"/>
        <v>1+18i</v>
      </c>
      <c r="AG10">
        <f t="shared" si="35"/>
        <v>18.027756377319946</v>
      </c>
      <c r="AH10">
        <f t="shared" si="36"/>
        <v>1.5152978215491797</v>
      </c>
      <c r="AI10" t="str">
        <f t="shared" si="37"/>
        <v>1+i</v>
      </c>
      <c r="AJ10">
        <f t="shared" si="38"/>
        <v>1.4142135623730951</v>
      </c>
      <c r="AK10">
        <f t="shared" si="39"/>
        <v>0.78539816339744828</v>
      </c>
      <c r="AL10" t="str">
        <f t="shared" si="10"/>
        <v>1-0,068041381743977i</v>
      </c>
      <c r="AM10">
        <f t="shared" si="40"/>
        <v>1.0023121418149286</v>
      </c>
      <c r="AN10" s="60">
        <f t="shared" si="41"/>
        <v>-6.7936670323180057E-2</v>
      </c>
      <c r="AO10" t="str">
        <f t="shared" si="42"/>
        <v>1,1548935424824-1,18398641784044i</v>
      </c>
      <c r="AP10">
        <f t="shared" si="43"/>
        <v>4.3705306055060316</v>
      </c>
      <c r="AQ10" s="60">
        <f t="shared" si="44"/>
        <v>-45.712654363825479</v>
      </c>
      <c r="AR10" t="str">
        <f t="shared" si="11"/>
        <v>-1,05811623246493</v>
      </c>
      <c r="AS10" s="62" t="str">
        <f t="shared" si="12"/>
        <v>1+0,985599999999999i</v>
      </c>
      <c r="AT10">
        <f t="shared" si="13"/>
        <v>1.404068146494321</v>
      </c>
      <c r="AU10">
        <f t="shared" si="14"/>
        <v>0.77814607458111407</v>
      </c>
      <c r="AV10" s="62" t="str">
        <f t="shared" si="15"/>
        <v>1+0,985599999999999i</v>
      </c>
      <c r="AW10">
        <f t="shared" si="16"/>
        <v>1.404068146494321</v>
      </c>
      <c r="AX10">
        <f t="shared" si="17"/>
        <v>0.77814607458111407</v>
      </c>
      <c r="AY10" s="62" t="str">
        <f t="shared" si="18"/>
        <v>1-0,0258264462809917i</v>
      </c>
      <c r="AZ10">
        <f t="shared" si="19"/>
        <v>1.000333447070278</v>
      </c>
      <c r="BA10">
        <f t="shared" si="20"/>
        <v>-2.5820706452161186E-2</v>
      </c>
      <c r="BB10" s="61" t="str">
        <f t="shared" si="45"/>
        <v>-0,523069146261816+0,542864332592446i</v>
      </c>
      <c r="BC10">
        <f t="shared" si="21"/>
        <v>-2.4542003961602514</v>
      </c>
      <c r="BD10" s="60">
        <f t="shared" si="22"/>
        <v>133.93609657807491</v>
      </c>
      <c r="BE10" s="61" t="str">
        <f t="shared" si="46"/>
        <v>0,202439114105519+0,334943690625317i</v>
      </c>
      <c r="BF10" s="37">
        <f t="shared" si="23"/>
        <v>-8.1482948933356507</v>
      </c>
      <c r="BG10" s="60">
        <f t="shared" si="24"/>
        <v>58.851341361222133</v>
      </c>
      <c r="BH10" s="99" t="str">
        <f t="shared" si="47"/>
        <v>0,0386548172299181+1,24625727692042i</v>
      </c>
      <c r="BI10" s="37">
        <f t="shared" si="25"/>
        <v>1.9163302093457912</v>
      </c>
      <c r="BJ10" s="60">
        <f t="shared" si="26"/>
        <v>88.223442214249459</v>
      </c>
      <c r="BK10" s="100">
        <f t="shared" si="48"/>
        <v>-8.1482948933356507</v>
      </c>
      <c r="BL10" s="60">
        <f t="shared" si="49"/>
        <v>58.851341361222133</v>
      </c>
    </row>
    <row r="11" spans="1:67" ht="15.75" thickBot="1" x14ac:dyDescent="0.3">
      <c r="A11" t="s">
        <v>447</v>
      </c>
      <c r="B11" s="29">
        <f>VIN_MAX</f>
        <v>12.5</v>
      </c>
      <c r="C11" t="s">
        <v>34</v>
      </c>
      <c r="E11" t="s">
        <v>448</v>
      </c>
      <c r="M11" s="93" t="s">
        <v>476</v>
      </c>
      <c r="N11" s="94">
        <f>wp_lf/(2*PI())</f>
        <v>147.36568804805123</v>
      </c>
      <c r="O11" s="95" t="str">
        <f t="shared" si="27"/>
        <v>13,7404580152672</v>
      </c>
      <c r="P11" s="96" t="str">
        <f t="shared" si="28"/>
        <v>1+i</v>
      </c>
      <c r="Q11" s="96">
        <f t="shared" si="29"/>
        <v>1.4142135623730951</v>
      </c>
      <c r="R11" s="96">
        <f t="shared" si="0"/>
        <v>0.78539816339744828</v>
      </c>
      <c r="S11" s="96" t="str">
        <f t="shared" si="30"/>
        <v>1+0,0277777777777778i</v>
      </c>
      <c r="T11" s="96">
        <f t="shared" si="1"/>
        <v>1.0003857280760615</v>
      </c>
      <c r="U11" s="96">
        <f t="shared" si="2"/>
        <v>2.777063659342106E-2</v>
      </c>
      <c r="V11" s="62" t="str">
        <f t="shared" si="31"/>
        <v>1-0,00578703703703704i</v>
      </c>
      <c r="W11" s="96">
        <f t="shared" si="3"/>
        <v>1.0000167447586406</v>
      </c>
      <c r="X11" s="96">
        <f t="shared" si="4"/>
        <v>-5.7869724361019623E-3</v>
      </c>
      <c r="Y11" s="62" t="str">
        <f t="shared" si="32"/>
        <v>0,999998610134655+0,0100414664027896i</v>
      </c>
      <c r="Z11" s="96">
        <f t="shared" si="5"/>
        <v>1.0000490244576812</v>
      </c>
      <c r="AA11" s="96">
        <f t="shared" si="6"/>
        <v>1.0041142880912717E-2</v>
      </c>
      <c r="AB11" s="97" t="str">
        <f t="shared" si="7"/>
        <v>6,95424201167369-6,79009220390925i</v>
      </c>
      <c r="AC11" s="64">
        <f t="shared" si="8"/>
        <v>19.75279360912247</v>
      </c>
      <c r="AD11" s="62">
        <f t="shared" si="9"/>
        <v>-44.315743934116625</v>
      </c>
      <c r="AE11" s="58" t="str">
        <f t="shared" si="33"/>
        <v>21,0353732052265</v>
      </c>
      <c r="AF11" t="str">
        <f t="shared" si="34"/>
        <v>1+0,500000000000001i</v>
      </c>
      <c r="AG11">
        <f t="shared" si="35"/>
        <v>1.1180339887498953</v>
      </c>
      <c r="AH11">
        <f t="shared" si="36"/>
        <v>0.46364760900080693</v>
      </c>
      <c r="AI11" t="str">
        <f t="shared" si="37"/>
        <v>1+0,0277777777777778i</v>
      </c>
      <c r="AJ11">
        <f t="shared" si="38"/>
        <v>1.0003857280760615</v>
      </c>
      <c r="AK11">
        <f t="shared" si="39"/>
        <v>2.777063659342106E-2</v>
      </c>
      <c r="AL11" t="str">
        <f t="shared" si="10"/>
        <v>1-0,00189003838177714i</v>
      </c>
      <c r="AM11">
        <f t="shared" si="40"/>
        <v>1.0000017861209471</v>
      </c>
      <c r="AN11" s="60">
        <f t="shared" si="41"/>
        <v>-1.8900361312218573E-3</v>
      </c>
      <c r="AO11" t="str">
        <f t="shared" si="42"/>
        <v>17,0470053716513-7,97894442619116i</v>
      </c>
      <c r="AP11">
        <f t="shared" si="43"/>
        <v>25.493269561129036</v>
      </c>
      <c r="AQ11" s="60">
        <f t="shared" si="44"/>
        <v>-25.08220199932973</v>
      </c>
      <c r="AR11" s="62" t="str">
        <f t="shared" si="11"/>
        <v>-1,05811623246493</v>
      </c>
      <c r="AS11" s="62" t="str">
        <f t="shared" si="12"/>
        <v>1+0,0273777777777778i</v>
      </c>
      <c r="AT11" s="62">
        <f t="shared" si="13"/>
        <v>1.0003747011575459</v>
      </c>
      <c r="AU11" s="62">
        <f t="shared" si="14"/>
        <v>2.737094058107211E-2</v>
      </c>
      <c r="AV11" s="62" t="str">
        <f t="shared" si="15"/>
        <v>1+0,0273777777777778i</v>
      </c>
      <c r="AW11" s="62">
        <f t="shared" si="16"/>
        <v>1.0003747011575459</v>
      </c>
      <c r="AX11" s="62">
        <f t="shared" si="17"/>
        <v>2.737094058107211E-2</v>
      </c>
      <c r="AY11" s="62" t="str">
        <f t="shared" si="18"/>
        <v>1-0,929752066115702i</v>
      </c>
      <c r="AZ11" s="62">
        <f t="shared" si="19"/>
        <v>1.3654445812431997</v>
      </c>
      <c r="BA11" s="62">
        <f t="shared" si="20"/>
        <v>-0.74901166061788094</v>
      </c>
      <c r="BB11" s="61" t="str">
        <f>IMDIV(IMPRODUCT(AR11,AY11), AS11)</f>
        <v>-1,03041002839813+1,01199609010231i</v>
      </c>
      <c r="BC11" s="62">
        <f t="shared" si="21"/>
        <v>3.1928951008246589</v>
      </c>
      <c r="BD11" s="63">
        <f t="shared" si="22"/>
        <v>135.51655366391145</v>
      </c>
      <c r="BE11" s="61" t="str">
        <f t="shared" si="46"/>
        <v>-0,294173946945818+14,034244826095i</v>
      </c>
      <c r="BF11" s="64">
        <f t="shared" si="23"/>
        <v>22.945688709947095</v>
      </c>
      <c r="BG11" s="63">
        <f t="shared" si="24"/>
        <v>91.200809729794841</v>
      </c>
      <c r="BH11" s="99" t="str">
        <f t="shared" si="47"/>
        <v>-9,49074472665721+25,4730871368429i</v>
      </c>
      <c r="BI11" s="64">
        <f t="shared" si="25"/>
        <v>28.686164661953683</v>
      </c>
      <c r="BJ11" s="63">
        <f t="shared" si="26"/>
        <v>110.43435166458174</v>
      </c>
      <c r="BK11" s="100">
        <f t="shared" si="48"/>
        <v>22.945688709947095</v>
      </c>
      <c r="BL11" s="60">
        <f t="shared" si="49"/>
        <v>91.200809729794841</v>
      </c>
      <c r="BN11" s="168" t="s">
        <v>697</v>
      </c>
      <c r="BO11" s="168"/>
    </row>
    <row r="12" spans="1:67" ht="15.75" thickBot="1" x14ac:dyDescent="0.3">
      <c r="A12" t="s">
        <v>449</v>
      </c>
      <c r="B12" s="29">
        <f>fsw</f>
        <v>250000</v>
      </c>
      <c r="C12" t="s">
        <v>70</v>
      </c>
      <c r="E12" t="s">
        <v>450</v>
      </c>
      <c r="M12" s="84" t="s">
        <v>497</v>
      </c>
      <c r="N12" s="57">
        <f>wz_ea/(2*PI())</f>
        <v>137.01355293723773</v>
      </c>
      <c r="O12" s="86" t="str">
        <f t="shared" si="27"/>
        <v>13,7404580152672</v>
      </c>
      <c r="P12" s="87" t="str">
        <f t="shared" si="28"/>
        <v>1+0,929752066115703i</v>
      </c>
      <c r="Q12" s="87">
        <f t="shared" si="29"/>
        <v>1.3654445812432003</v>
      </c>
      <c r="R12" s="87">
        <f t="shared" si="0"/>
        <v>0.74901166061788138</v>
      </c>
      <c r="S12" s="87" t="str">
        <f t="shared" si="30"/>
        <v>1+0,0258264462809918i</v>
      </c>
      <c r="T12" s="87">
        <f t="shared" si="1"/>
        <v>1.000333447070278</v>
      </c>
      <c r="U12" s="87">
        <f t="shared" si="2"/>
        <v>2.5820706452161283E-2</v>
      </c>
      <c r="V12" s="56" t="str">
        <f t="shared" si="31"/>
        <v>1-0,00538050964187328i</v>
      </c>
      <c r="W12" s="87">
        <f t="shared" si="3"/>
        <v>1.0000144748372426</v>
      </c>
      <c r="X12" s="87">
        <f t="shared" si="4"/>
        <v>-5.3804577210651286E-3</v>
      </c>
      <c r="Y12" s="56" t="str">
        <f t="shared" si="32"/>
        <v>0,999998798546324+0,009336074134825i</v>
      </c>
      <c r="Z12" s="87">
        <f t="shared" si="5"/>
        <v>1.0000423787891903</v>
      </c>
      <c r="AA12" s="87">
        <f t="shared" si="6"/>
        <v>9.3358141137362387E-3</v>
      </c>
      <c r="AB12" s="88" t="str">
        <f t="shared" si="7"/>
        <v>7,44766201746028-6,77185564896028i</v>
      </c>
      <c r="AC12" s="89">
        <f t="shared" si="8"/>
        <v>20.057196060957899</v>
      </c>
      <c r="AD12" s="56">
        <f t="shared" si="9"/>
        <v>-42.278969722036074</v>
      </c>
      <c r="AE12" s="58" t="str">
        <f t="shared" si="33"/>
        <v>21,0353732052265</v>
      </c>
      <c r="AF12" t="str">
        <f t="shared" si="34"/>
        <v>1+0,464876033057852i</v>
      </c>
      <c r="AG12">
        <f t="shared" si="35"/>
        <v>1.1027736513499065</v>
      </c>
      <c r="AH12">
        <f t="shared" si="36"/>
        <v>0.43515574038875349</v>
      </c>
      <c r="AI12" t="str">
        <f t="shared" si="37"/>
        <v>1+0,0258264462809918i</v>
      </c>
      <c r="AJ12">
        <f t="shared" si="38"/>
        <v>1.000333447070278</v>
      </c>
      <c r="AK12">
        <f t="shared" si="39"/>
        <v>2.5820706452161283E-2</v>
      </c>
      <c r="AL12" t="str">
        <f t="shared" si="10"/>
        <v>1-0,00175726709049528i</v>
      </c>
      <c r="AM12">
        <f t="shared" si="40"/>
        <v>1.0000015439926218</v>
      </c>
      <c r="AN12" s="60">
        <f t="shared" si="41"/>
        <v>-1.7572652816922869E-3</v>
      </c>
      <c r="AO12" t="str">
        <f t="shared" si="42"/>
        <v>17,4915931431173-7,62511826521875i</v>
      </c>
      <c r="AP12">
        <f t="shared" si="43"/>
        <v>25.612186025730509</v>
      </c>
      <c r="AQ12" s="60">
        <f t="shared" si="44"/>
        <v>-23.553853735536947</v>
      </c>
      <c r="AR12" s="56" t="str">
        <f t="shared" si="11"/>
        <v>-1,05811623246493</v>
      </c>
      <c r="AS12" s="62" t="str">
        <f t="shared" si="12"/>
        <v>1+0,0254545454545455i</v>
      </c>
      <c r="AT12" s="56">
        <f t="shared" si="13"/>
        <v>1.000323914481853</v>
      </c>
      <c r="AU12" s="56">
        <f t="shared" si="14"/>
        <v>2.5449049969977284E-2</v>
      </c>
      <c r="AV12" s="62" t="str">
        <f t="shared" si="15"/>
        <v>1+0,0254545454545455i</v>
      </c>
      <c r="AW12" s="56">
        <f t="shared" si="16"/>
        <v>1.000323914481853</v>
      </c>
      <c r="AX12" s="56">
        <f t="shared" si="17"/>
        <v>2.5449049969977284E-2</v>
      </c>
      <c r="AY12" s="62" t="str">
        <f t="shared" si="18"/>
        <v>1-0,999999999999999i</v>
      </c>
      <c r="AZ12" s="56">
        <f t="shared" si="19"/>
        <v>1.4142135623730943</v>
      </c>
      <c r="BA12" s="56">
        <f t="shared" si="20"/>
        <v>-0.78539816339744783</v>
      </c>
      <c r="BB12" s="61" t="str">
        <f t="shared" si="45"/>
        <v>-1,03051465936339+1,08434751470327i</v>
      </c>
      <c r="BC12" s="56">
        <f t="shared" si="21"/>
        <v>3.4981544649726666</v>
      </c>
      <c r="BD12" s="57">
        <f t="shared" si="22"/>
        <v>133.54187684410272</v>
      </c>
      <c r="BE12" s="61" t="str">
        <f t="shared" si="46"/>
        <v>-0,331880044097359+15,0543503163293i</v>
      </c>
      <c r="BF12" s="89">
        <f t="shared" si="23"/>
        <v>23.555350525930542</v>
      </c>
      <c r="BG12" s="57">
        <f t="shared" si="24"/>
        <v>91.262907122066665</v>
      </c>
      <c r="BH12" s="99" t="str">
        <f t="shared" si="47"/>
        <v>-9,75706510939407+26,8247617046275i</v>
      </c>
      <c r="BI12" s="89">
        <f t="shared" si="25"/>
        <v>29.110340490703184</v>
      </c>
      <c r="BJ12" s="57">
        <f t="shared" si="26"/>
        <v>109.98802310856577</v>
      </c>
      <c r="BK12" s="100">
        <f t="shared" si="48"/>
        <v>23.555350525930542</v>
      </c>
      <c r="BL12" s="60">
        <f t="shared" si="49"/>
        <v>91.262907122066665</v>
      </c>
      <c r="BN12" t="s">
        <v>698</v>
      </c>
      <c r="BO12">
        <f>SUM(BN19:BN559)/1000</f>
        <v>2.0892961308540396</v>
      </c>
    </row>
    <row r="13" spans="1:67" ht="15.75" thickBot="1" x14ac:dyDescent="0.3">
      <c r="M13" s="93" t="s">
        <v>499</v>
      </c>
      <c r="N13" s="63">
        <f>wp1_ea/(2*PI())</f>
        <v>5382.6752939629105</v>
      </c>
      <c r="O13" s="95" t="str">
        <f t="shared" si="27"/>
        <v>13,7404580152672</v>
      </c>
      <c r="P13" s="96" t="str">
        <f t="shared" si="28"/>
        <v>1+36,525974025974i</v>
      </c>
      <c r="Q13" s="96">
        <f t="shared" si="29"/>
        <v>36.539660350722023</v>
      </c>
      <c r="R13" s="96">
        <f t="shared" si="0"/>
        <v>1.5434253862138245</v>
      </c>
      <c r="S13" s="96" t="str">
        <f t="shared" si="30"/>
        <v>1+1,01461038961039i</v>
      </c>
      <c r="T13" s="96">
        <f t="shared" si="1"/>
        <v>1.4245821291541416</v>
      </c>
      <c r="U13" s="96">
        <f t="shared" si="2"/>
        <v>0.79265025221378227</v>
      </c>
      <c r="V13" s="62" t="str">
        <f t="shared" si="31"/>
        <v>1-0,211377164502164i</v>
      </c>
      <c r="W13" s="96">
        <f t="shared" si="3"/>
        <v>1.0220960354452877</v>
      </c>
      <c r="X13" s="96">
        <f t="shared" si="4"/>
        <v>-0.20831082495438966</v>
      </c>
      <c r="Y13" s="62" t="str">
        <f t="shared" si="32"/>
        <v>0,998145715627505+0,366774341010982i</v>
      </c>
      <c r="Z13" s="96">
        <f t="shared" si="5"/>
        <v>1.0633994013772925</v>
      </c>
      <c r="AA13" s="96">
        <f t="shared" si="6"/>
        <v>0.35214014794716908</v>
      </c>
      <c r="AB13" s="97" t="str">
        <f t="shared" si="7"/>
        <v>0,132155871935397-0,49764714321587i</v>
      </c>
      <c r="AC13" s="64">
        <f t="shared" si="8"/>
        <v>-5.7656102490610559</v>
      </c>
      <c r="AD13" s="62">
        <f t="shared" si="9"/>
        <v>-75.127721912831589</v>
      </c>
      <c r="AE13" s="61" t="str">
        <f t="shared" si="33"/>
        <v>21,0353732052265</v>
      </c>
      <c r="AF13" s="62" t="str">
        <f t="shared" si="34"/>
        <v>1+18,262987012987i</v>
      </c>
      <c r="AG13" s="62">
        <f t="shared" si="35"/>
        <v>18.290344300655793</v>
      </c>
      <c r="AH13" s="62">
        <f t="shared" si="36"/>
        <v>1.5160953951802543</v>
      </c>
      <c r="AI13" s="62" t="str">
        <f t="shared" si="37"/>
        <v>1+1,01461038961039i</v>
      </c>
      <c r="AJ13" s="62">
        <f t="shared" si="38"/>
        <v>1.4245821291541416</v>
      </c>
      <c r="AK13" s="62">
        <f t="shared" si="39"/>
        <v>0.79265025221378227</v>
      </c>
      <c r="AL13" s="62" t="str">
        <f t="shared" si="10"/>
        <v>1-0,0690354928408858i</v>
      </c>
      <c r="AM13" s="62">
        <f t="shared" si="40"/>
        <v>1.0023801171570514</v>
      </c>
      <c r="AN13" s="63">
        <f t="shared" si="41"/>
        <v>-6.8926133320492702E-2</v>
      </c>
      <c r="AO13" s="62" t="str">
        <f t="shared" si="42"/>
        <v>1,15314435659973-1,16933956164007i</v>
      </c>
      <c r="AP13" s="62">
        <f t="shared" si="43"/>
        <v>4.3089655268630054</v>
      </c>
      <c r="AQ13" s="63">
        <f t="shared" si="44"/>
        <v>-45.399529938637457</v>
      </c>
      <c r="AR13" s="62" t="str">
        <f t="shared" si="11"/>
        <v>-1,05811623246493</v>
      </c>
      <c r="AS13" s="62" t="str">
        <f t="shared" si="12"/>
        <v>1+i</v>
      </c>
      <c r="AT13" s="62">
        <f t="shared" si="13"/>
        <v>1.4142135623730951</v>
      </c>
      <c r="AU13" s="62">
        <f t="shared" si="14"/>
        <v>0.78539816339744828</v>
      </c>
      <c r="AV13" s="62" t="str">
        <f t="shared" si="15"/>
        <v>1+i</v>
      </c>
      <c r="AW13" s="62">
        <f t="shared" si="16"/>
        <v>1.4142135623730951</v>
      </c>
      <c r="AX13" s="62">
        <f t="shared" si="17"/>
        <v>0.78539816339744828</v>
      </c>
      <c r="AY13" s="62" t="str">
        <f t="shared" si="18"/>
        <v>1-0,0254545454545455i</v>
      </c>
      <c r="AZ13" s="62">
        <f t="shared" si="19"/>
        <v>1.000323914481853</v>
      </c>
      <c r="BA13" s="62">
        <f t="shared" si="20"/>
        <v>-2.5449049969977284E-2</v>
      </c>
      <c r="BB13" s="61" t="str">
        <f t="shared" si="45"/>
        <v>-0,51559118236473+0,5425250501002i</v>
      </c>
      <c r="BC13" s="62">
        <f t="shared" si="21"/>
        <v>-2.5168193885557839</v>
      </c>
      <c r="BD13" s="63">
        <f t="shared" si="22"/>
        <v>133.5418768441028</v>
      </c>
      <c r="BE13" s="61" t="str">
        <f t="shared" si="46"/>
        <v>0,201847639037798+0,328280350013887i</v>
      </c>
      <c r="BF13" s="64">
        <f t="shared" si="23"/>
        <v>-8.2824296376168487</v>
      </c>
      <c r="BG13" s="63">
        <f t="shared" si="24"/>
        <v>58.414154931271213</v>
      </c>
      <c r="BH13" s="99" t="str">
        <f t="shared" si="47"/>
        <v>0,0398449420064543+1,22851086700889i</v>
      </c>
      <c r="BI13" s="64">
        <f t="shared" si="25"/>
        <v>1.7921461383072204</v>
      </c>
      <c r="BJ13" s="63">
        <f t="shared" si="26"/>
        <v>88.142346905465374</v>
      </c>
      <c r="BK13" s="100">
        <f t="shared" si="48"/>
        <v>-8.2824296376168487</v>
      </c>
      <c r="BL13" s="60">
        <f t="shared" si="49"/>
        <v>58.414154931271213</v>
      </c>
    </row>
    <row r="14" spans="1:67" x14ac:dyDescent="0.25">
      <c r="A14" t="s">
        <v>451</v>
      </c>
      <c r="B14" s="29">
        <f>LM5122_Quickstart!I82</f>
        <v>12</v>
      </c>
      <c r="C14" t="s">
        <v>34</v>
      </c>
      <c r="D14" t="s">
        <v>452</v>
      </c>
      <c r="BN14" t="s">
        <v>699</v>
      </c>
      <c r="BO14" s="36">
        <f>SUM(BO19:BO559)</f>
        <v>77.769357938938654</v>
      </c>
    </row>
    <row r="15" spans="1:67" ht="15.75" thickBot="1" x14ac:dyDescent="0.3">
      <c r="A15" t="s">
        <v>453</v>
      </c>
      <c r="B15" s="29">
        <f>B18</f>
        <v>5</v>
      </c>
      <c r="C15" t="s">
        <v>33</v>
      </c>
      <c r="D15" t="s">
        <v>454</v>
      </c>
      <c r="N15" s="36" t="s">
        <v>577</v>
      </c>
      <c r="O15">
        <f>B14</f>
        <v>12</v>
      </c>
      <c r="P15" t="s">
        <v>34</v>
      </c>
      <c r="BN15" s="169"/>
      <c r="BO15" s="169"/>
    </row>
    <row r="16" spans="1:67" ht="15.75" thickBot="1" x14ac:dyDescent="0.3">
      <c r="N16" s="106"/>
      <c r="O16" s="259" t="s">
        <v>510</v>
      </c>
      <c r="P16" s="259"/>
      <c r="Q16" s="259"/>
      <c r="R16" s="259"/>
      <c r="S16" s="259"/>
      <c r="T16" s="259"/>
      <c r="U16" s="259"/>
      <c r="V16" s="259"/>
      <c r="W16" s="259"/>
      <c r="X16" s="259"/>
      <c r="Y16" s="259"/>
      <c r="Z16" s="259"/>
      <c r="AA16" s="259"/>
      <c r="AB16" s="259"/>
      <c r="AC16" s="259"/>
      <c r="AD16" s="260"/>
      <c r="AE16" s="265" t="s">
        <v>578</v>
      </c>
      <c r="AF16" s="259"/>
      <c r="AG16" s="259"/>
      <c r="AH16" s="259"/>
      <c r="AI16" s="259"/>
      <c r="AJ16" s="259"/>
      <c r="AK16" s="259"/>
      <c r="AL16" s="259"/>
      <c r="AM16" s="259"/>
      <c r="AN16" s="259"/>
      <c r="AO16" s="259"/>
      <c r="AP16" s="259"/>
      <c r="AQ16" s="260"/>
      <c r="AR16" s="265" t="s">
        <v>490</v>
      </c>
      <c r="AS16" s="259"/>
      <c r="AT16" s="259"/>
      <c r="AU16" s="259"/>
      <c r="AV16" s="259"/>
      <c r="AW16" s="259"/>
      <c r="AX16" s="259"/>
      <c r="AY16" s="259"/>
      <c r="AZ16" s="259"/>
      <c r="BA16" s="259"/>
      <c r="BB16" s="259"/>
      <c r="BC16" s="259"/>
      <c r="BD16" s="260"/>
      <c r="BE16" s="265" t="s">
        <v>547</v>
      </c>
      <c r="BF16" s="259"/>
      <c r="BG16" s="260"/>
      <c r="BH16" s="265" t="s">
        <v>575</v>
      </c>
      <c r="BI16" s="259"/>
      <c r="BJ16" s="260"/>
      <c r="BK16" s="265" t="s">
        <v>548</v>
      </c>
      <c r="BL16" s="260"/>
      <c r="BN16" s="169"/>
      <c r="BO16" s="169"/>
    </row>
    <row r="17" spans="1:67" x14ac:dyDescent="0.25">
      <c r="A17" t="s">
        <v>222</v>
      </c>
      <c r="B17" s="29">
        <f>VOUT</f>
        <v>18</v>
      </c>
      <c r="C17" t="s">
        <v>34</v>
      </c>
      <c r="E17" t="s">
        <v>216</v>
      </c>
      <c r="N17" s="107"/>
      <c r="P17" s="261" t="s">
        <v>476</v>
      </c>
      <c r="Q17" s="261"/>
      <c r="R17" s="261"/>
      <c r="S17" s="262" t="s">
        <v>478</v>
      </c>
      <c r="T17" s="262"/>
      <c r="U17" s="262"/>
      <c r="V17" s="262" t="s">
        <v>519</v>
      </c>
      <c r="W17" s="262"/>
      <c r="X17" s="262"/>
      <c r="Y17" s="262" t="s">
        <v>511</v>
      </c>
      <c r="Z17" s="262"/>
      <c r="AA17" s="262"/>
      <c r="AB17" s="263" t="s">
        <v>512</v>
      </c>
      <c r="AC17" s="262"/>
      <c r="AD17" s="264"/>
      <c r="AE17" s="101"/>
      <c r="AF17" s="261" t="s">
        <v>476</v>
      </c>
      <c r="AG17" s="261"/>
      <c r="AH17" s="261"/>
      <c r="AI17" s="268" t="s">
        <v>478</v>
      </c>
      <c r="AJ17" s="268"/>
      <c r="AK17" s="268"/>
      <c r="AL17" s="262" t="s">
        <v>519</v>
      </c>
      <c r="AM17" s="262"/>
      <c r="AN17" s="262"/>
      <c r="AO17" s="269" t="s">
        <v>512</v>
      </c>
      <c r="AP17" s="268"/>
      <c r="AQ17" s="270"/>
      <c r="AS17" s="262" t="s">
        <v>498</v>
      </c>
      <c r="AT17" s="262"/>
      <c r="AU17" s="262"/>
      <c r="AV17" s="262" t="s">
        <v>499</v>
      </c>
      <c r="AW17" s="262"/>
      <c r="AX17" s="262"/>
      <c r="AY17" s="262" t="s">
        <v>497</v>
      </c>
      <c r="AZ17" s="262"/>
      <c r="BA17" s="262"/>
      <c r="BB17" s="263" t="s">
        <v>512</v>
      </c>
      <c r="BC17" s="262"/>
      <c r="BD17" s="264"/>
      <c r="BE17" s="263" t="s">
        <v>512</v>
      </c>
      <c r="BF17" s="262"/>
      <c r="BG17" s="264"/>
      <c r="BH17" s="263" t="s">
        <v>512</v>
      </c>
      <c r="BI17" s="262"/>
      <c r="BJ17" s="264"/>
      <c r="BL17" s="60"/>
      <c r="BN17" s="169"/>
      <c r="BO17" s="169"/>
    </row>
    <row r="18" spans="1:67" ht="15.75" thickBot="1" x14ac:dyDescent="0.3">
      <c r="A18" t="s">
        <v>223</v>
      </c>
      <c r="B18" s="29">
        <f>IOUT_np</f>
        <v>5</v>
      </c>
      <c r="C18" t="s">
        <v>33</v>
      </c>
      <c r="E18" t="s">
        <v>468</v>
      </c>
      <c r="M18" s="66"/>
      <c r="N18" s="108" t="s">
        <v>579</v>
      </c>
      <c r="O18" s="96" t="s">
        <v>367</v>
      </c>
      <c r="P18" s="62" t="s">
        <v>513</v>
      </c>
      <c r="Q18" s="96" t="s">
        <v>514</v>
      </c>
      <c r="R18" s="96" t="s">
        <v>515</v>
      </c>
      <c r="S18" s="96" t="s">
        <v>513</v>
      </c>
      <c r="T18" s="96" t="s">
        <v>514</v>
      </c>
      <c r="U18" s="96" t="s">
        <v>515</v>
      </c>
      <c r="V18" s="96" t="s">
        <v>513</v>
      </c>
      <c r="W18" s="96" t="s">
        <v>514</v>
      </c>
      <c r="X18" s="96" t="s">
        <v>515</v>
      </c>
      <c r="Y18" s="96" t="s">
        <v>513</v>
      </c>
      <c r="Z18" s="96" t="s">
        <v>514</v>
      </c>
      <c r="AA18" s="96" t="s">
        <v>515</v>
      </c>
      <c r="AB18" s="97" t="s">
        <v>516</v>
      </c>
      <c r="AC18" s="96" t="s">
        <v>514</v>
      </c>
      <c r="AD18" s="109" t="s">
        <v>515</v>
      </c>
      <c r="AE18" s="96" t="s">
        <v>367</v>
      </c>
      <c r="AF18" s="96" t="s">
        <v>513</v>
      </c>
      <c r="AG18" s="96" t="s">
        <v>550</v>
      </c>
      <c r="AH18" s="96" t="s">
        <v>515</v>
      </c>
      <c r="AI18" s="96" t="s">
        <v>513</v>
      </c>
      <c r="AJ18" s="96" t="s">
        <v>550</v>
      </c>
      <c r="AK18" s="96" t="s">
        <v>515</v>
      </c>
      <c r="AL18" s="96" t="s">
        <v>513</v>
      </c>
      <c r="AM18" s="96" t="s">
        <v>550</v>
      </c>
      <c r="AN18" s="96" t="s">
        <v>515</v>
      </c>
      <c r="AO18" s="97" t="s">
        <v>516</v>
      </c>
      <c r="AP18" s="96" t="s">
        <v>514</v>
      </c>
      <c r="AQ18" s="109" t="s">
        <v>515</v>
      </c>
      <c r="AR18" s="96" t="s">
        <v>549</v>
      </c>
      <c r="AS18" s="96" t="s">
        <v>513</v>
      </c>
      <c r="AT18" s="96" t="s">
        <v>550</v>
      </c>
      <c r="AU18" s="96" t="s">
        <v>515</v>
      </c>
      <c r="AV18" s="96" t="s">
        <v>513</v>
      </c>
      <c r="AW18" s="96" t="s">
        <v>550</v>
      </c>
      <c r="AX18" s="96" t="s">
        <v>515</v>
      </c>
      <c r="AY18" s="96" t="s">
        <v>513</v>
      </c>
      <c r="AZ18" s="96" t="s">
        <v>550</v>
      </c>
      <c r="BA18" s="96" t="s">
        <v>515</v>
      </c>
      <c r="BB18" s="97" t="s">
        <v>516</v>
      </c>
      <c r="BC18" s="96" t="s">
        <v>514</v>
      </c>
      <c r="BD18" s="109" t="s">
        <v>515</v>
      </c>
      <c r="BE18" s="97" t="s">
        <v>516</v>
      </c>
      <c r="BF18" s="96" t="s">
        <v>514</v>
      </c>
      <c r="BG18" s="109" t="s">
        <v>515</v>
      </c>
      <c r="BH18" s="97" t="s">
        <v>516</v>
      </c>
      <c r="BI18" s="96" t="s">
        <v>514</v>
      </c>
      <c r="BJ18" s="109" t="s">
        <v>515</v>
      </c>
      <c r="BK18" s="67" t="s">
        <v>580</v>
      </c>
      <c r="BL18" s="110" t="s">
        <v>581</v>
      </c>
      <c r="BN18" s="169" t="s">
        <v>700</v>
      </c>
      <c r="BO18" s="169" t="s">
        <v>701</v>
      </c>
    </row>
    <row r="19" spans="1:67" x14ac:dyDescent="0.25">
      <c r="A19" t="s">
        <v>576</v>
      </c>
      <c r="B19" s="21">
        <v>0</v>
      </c>
      <c r="E19" t="s">
        <v>707</v>
      </c>
      <c r="J19" t="s">
        <v>706</v>
      </c>
      <c r="K19" s="174">
        <f>IF(Calculations!B17=2,1,0)</f>
        <v>0</v>
      </c>
      <c r="M19" s="66">
        <v>1</v>
      </c>
      <c r="N19" s="36">
        <f>10^(1+(M19/100))</f>
        <v>10.232929922807543</v>
      </c>
      <c r="O19" s="91" t="str">
        <f>COMPLEX(adc,0)</f>
        <v>13,7404580152672</v>
      </c>
      <c r="P19" s="67" t="str">
        <f>IMSUM(COMPLEX(1,0),IMDIV(COMPLEX(0,2*PI()*N19),COMPLEX(wp_lf,0)))</f>
        <v>1+0,0694390265356133i</v>
      </c>
      <c r="Q19" s="67">
        <f>IMABS(P19)</f>
        <v>1.0024079899951983</v>
      </c>
      <c r="R19" s="67">
        <f>IMARGUMENT(P19)</f>
        <v>6.932774177999261E-2</v>
      </c>
      <c r="S19" s="67" t="str">
        <f>IMSUM(COMPLEX(1,0),IMDIV(COMPLEX(0,2*PI()*N19),COMPLEX(wz_esr,0)))</f>
        <v>1+0,00192886184821148i</v>
      </c>
      <c r="T19" s="67">
        <f>IMABS(S19)</f>
        <v>1.0000018602522844</v>
      </c>
      <c r="U19" s="67">
        <f>IMARGUMENT(S19)</f>
        <v>1.9288594561014886E-3</v>
      </c>
      <c r="V19" t="str">
        <f>IMSUB(COMPLEX(1,0),IMDIV(COMPLEX(0,2*PI()*N19),COMPLEX(wz_rhp,0)))</f>
        <v>1-0,000401846218377392i</v>
      </c>
      <c r="W19" s="67">
        <f>IMABS(V19)</f>
        <v>1.0000000807401883</v>
      </c>
      <c r="X19" s="67">
        <f>IMARGUMENT(V19)</f>
        <v>-4.0184619674730028E-4</v>
      </c>
      <c r="Y19" t="str">
        <f>IMSUM(COMPLEX(1,0),IMDIV(COMPLEX(0,2*PI()*N19),COMPLEX(Q*(wsl/2),0)),IMDIV(IMPOWER(COMPLEX(0,2*PI()*N19),2),IMPOWER(COMPLEX(wsl/2,0),2)))</f>
        <v>0,999999993298377+0,000697269651999774i</v>
      </c>
      <c r="Z19" s="67">
        <f>IMABS(Y19)</f>
        <v>1.0000002363908329</v>
      </c>
      <c r="AA19" s="67">
        <f>IMARGUMENT(Y19)</f>
        <v>6.972695436719687E-4</v>
      </c>
      <c r="AB19" s="92" t="str">
        <f>(IMDIV(IMPRODUCT(O19,S19,V19),IMPRODUCT(P19,Y19)))</f>
        <v>13,6753289809819-0,938200455178844i</v>
      </c>
      <c r="AC19" s="37">
        <f>20*LOG(IMABS(AB19))</f>
        <v>22.739148601417035</v>
      </c>
      <c r="AD19" s="60">
        <f>(180/PI())*IMARGUMENT(AB19)</f>
        <v>-3.9246461941802617</v>
      </c>
      <c r="AE19" t="str">
        <f>COMPLEX($B$67,0)</f>
        <v>21,0353732052265</v>
      </c>
      <c r="AF19" t="str">
        <f>IMSUM(COMPLEX(1,0),IMDIV(COMPLEX(0,2*PI()*N19),COMPLEX(wp_lf_DCM,0)))</f>
        <v>1+0,0347195132678067i</v>
      </c>
      <c r="AG19">
        <f>IMABS(AF19)</f>
        <v>1.0006025407730852</v>
      </c>
      <c r="AH19">
        <f>IMARGUMENT(AF19)</f>
        <v>3.4705572532676421E-2</v>
      </c>
      <c r="AI19" t="str">
        <f t="shared" ref="AI19:AI82" si="50">IMSUM(COMPLEX(1,0),IMDIV(COMPLEX(0,2*PI()*N19),COMPLEX(wz1_dcm,0)))</f>
        <v>1+0,00192886184821148i</v>
      </c>
      <c r="AJ19">
        <f>IMABS(AI19)</f>
        <v>1.0000018602522844</v>
      </c>
      <c r="AK19">
        <f>IMARGUMENT(AI19)</f>
        <v>1.9288594561014886E-3</v>
      </c>
      <c r="AL19" t="str">
        <f>IMSUB(COMPLEX(1,0),IMDIV(COMPLEX(0,2*PI()*N19),COMPLEX(wz2_dcm,0)))</f>
        <v>1-0,000131242425345551i</v>
      </c>
      <c r="AM19">
        <f>IMABS(AL19)</f>
        <v>1.0000000086122871</v>
      </c>
      <c r="AN19">
        <f>IMARGUMENT(AL19)</f>
        <v>-1.3124242459201937E-4</v>
      </c>
      <c r="AO19" s="58" t="str">
        <f>(IMDIV(IMPRODUCT(AE19,AI19,AL19),IMPRODUCT(AF19)))</f>
        <v>21,0113633653883-0,691690713698359i</v>
      </c>
      <c r="AP19">
        <f>20*LOG(IMABS(AO19))</f>
        <v>26.453788637854295</v>
      </c>
      <c r="AQ19" s="60">
        <f>(180/PI())*IMARGUMENT(AO19)</f>
        <v>-1.8854869626211885</v>
      </c>
      <c r="AR19" t="str">
        <f>COMPLEX(adc_ea,0)</f>
        <v>-1,05811623246493</v>
      </c>
      <c r="AS19" t="str">
        <f t="shared" ref="AS19:AS82" si="51">IMSUM(COMPLEX(1,0), IMDIV(COMPLEX(0,2*PI()*N19), COMPLEX(wp0_ea,0)))</f>
        <v>1+0,00190108623759724i</v>
      </c>
      <c r="AT19">
        <f>IMABS(AS19)</f>
        <v>1.0000018070628087</v>
      </c>
      <c r="AU19">
        <f>IMARGUMENT(AS19)</f>
        <v>1.9010839473453131E-3</v>
      </c>
      <c r="AV19" t="str">
        <f t="shared" ref="AV19:AV82" si="52">IMSUM(COMPLEX(1,0),IMDIV(COMPLEX(0,2*PI()*N19),COMPLEX(wp1_ea,0)))</f>
        <v>1+0,00190108623759724i</v>
      </c>
      <c r="AW19">
        <f>IMABS(AV19)</f>
        <v>1.0000018070628087</v>
      </c>
      <c r="AX19">
        <f>IMARGUMENT(AV19)</f>
        <v>1.9010839473453131E-3</v>
      </c>
      <c r="AY19" t="str">
        <f t="shared" ref="AY19:AY82" si="53">IMSUM(COMPLEX(1,0),IMDIV(COMPLEX(wz_ea,0),COMPLEX(0,2*PI()*N19)))</f>
        <v>1-13,3894743705668i</v>
      </c>
      <c r="AZ19">
        <f>IMABS(AY19)</f>
        <v>13.426765206856983</v>
      </c>
      <c r="BA19">
        <f>IMARGUMENT(AY19)</f>
        <v>-1.4962491966503246</v>
      </c>
      <c r="BB19" s="58" t="str">
        <f>IMDIV(IMPRODUCT(AR19,AY19), AS19)</f>
        <v>-1,03117863791696+14,1695805351869i</v>
      </c>
      <c r="BC19">
        <f>20*LOG(IMABS(BB19))</f>
        <v>23.050079732241535</v>
      </c>
      <c r="BD19" s="60">
        <f>(180/PI())*IMARGUMENT(BB19)</f>
        <v>94.162311845413512</v>
      </c>
      <c r="BE19" s="58" t="str">
        <f>IMPRODUCT(AB19,BB19)</f>
        <v>-0,807800203869608+194,741127608663i</v>
      </c>
      <c r="BF19" s="37">
        <f>20*LOG(IMABS(BE19))</f>
        <v>45.789228333658578</v>
      </c>
      <c r="BG19" s="60">
        <f>(180/PI())*IMARGUMENT(BE19)</f>
        <v>90.237665651233243</v>
      </c>
      <c r="BH19" s="58" t="str">
        <f>IMPRODUCT(AO19,BB19)</f>
        <v>-11,8655017827096+298,435462047956i</v>
      </c>
      <c r="BI19" s="37">
        <f>20*LOG(IMABS(BH19))</f>
        <v>49.503868370095816</v>
      </c>
      <c r="BJ19" s="60">
        <f>(180/PI())*IMARGUMENT(BH19)</f>
        <v>92.276824882792312</v>
      </c>
      <c r="BK19">
        <f>IF($B$19=0,BF19,BI19)</f>
        <v>45.789228333658578</v>
      </c>
      <c r="BL19" s="60">
        <f>IF($B$19=0,BG19,BJ19)</f>
        <v>90.237665651233243</v>
      </c>
      <c r="BN19">
        <f>SUM((BK20&lt;0)*(BK19&gt;0))*N19</f>
        <v>0</v>
      </c>
      <c r="BO19">
        <f>IF(BN19&gt;0,BL19,0)</f>
        <v>0</v>
      </c>
    </row>
    <row r="20" spans="1:67" x14ac:dyDescent="0.25">
      <c r="A20" t="s">
        <v>455</v>
      </c>
      <c r="M20" s="66">
        <v>2</v>
      </c>
      <c r="N20" s="36">
        <f t="shared" ref="N20:N83" si="54">10^(1+(M20/100))</f>
        <v>10.471285480509</v>
      </c>
      <c r="O20" s="91" t="str">
        <f t="shared" ref="O20:O82" si="55">COMPLEX(adc,0)</f>
        <v>13,7404580152672</v>
      </c>
      <c r="P20" s="67" t="str">
        <f t="shared" ref="P20:P82" si="56">IMSUM(COMPLEX(1,0),IMDIV(COMPLEX(0,2*PI()*N20),COMPLEX(wp_lf,0)))</f>
        <v>1+0,0710564692446905i</v>
      </c>
      <c r="Q20" s="67">
        <f t="shared" ref="Q20:Q83" si="57">IMABS(P20)</f>
        <v>1.0025213323523452</v>
      </c>
      <c r="R20" s="67">
        <f t="shared" ref="R20:R83" si="58">IMARGUMENT(P20)</f>
        <v>7.0937241671787166E-2</v>
      </c>
      <c r="S20" s="67" t="str">
        <f t="shared" ref="S20:S82" si="59">IMSUM(COMPLEX(1,0),IMDIV(COMPLEX(0,2*PI()*N20),COMPLEX(wz_esr,0)))</f>
        <v>1+0,00197379081235252i</v>
      </c>
      <c r="T20" s="67">
        <f t="shared" ref="T20:T83" si="60">IMABS(S20)</f>
        <v>1.0000019479231883</v>
      </c>
      <c r="U20" s="67">
        <f t="shared" ref="U20:U83" si="61">IMARGUMENT(S20)</f>
        <v>1.9737882491607534E-3</v>
      </c>
      <c r="V20" t="str">
        <f t="shared" ref="V20:V82" si="62">IMSUB(COMPLEX(1,0),IMDIV(COMPLEX(0,2*PI()*N20),COMPLEX(wz_rhp,0)))</f>
        <v>1-0,000411206419240107i</v>
      </c>
      <c r="W20" s="67">
        <f t="shared" ref="W20:W83" si="63">IMABS(V20)</f>
        <v>1.000000084545356</v>
      </c>
      <c r="X20" s="67">
        <f t="shared" ref="X20:X83" si="64">IMARGUMENT(V20)</f>
        <v>-4.112063960630463E-4</v>
      </c>
      <c r="Y20" t="str">
        <f t="shared" ref="Y20:Y82" si="65">IMSUM(COMPLEX(1,0),IMDIV(COMPLEX(0,2*PI()*N20),COMPLEX(Q*(wsl/2),0)),IMDIV(IMPOWER(COMPLEX(0,2*PI()*N20),2),IMPOWER(COMPLEX(wsl/2,0),2)))</f>
        <v>0,999999992982539+0,000713511148621409i</v>
      </c>
      <c r="Z20" s="67">
        <f t="shared" ref="Z20:Z83" si="66">IMABS(Y20)</f>
        <v>1.0000002475315879</v>
      </c>
      <c r="AA20" s="67">
        <f t="shared" ref="AA20:AA83" si="67">IMARGUMENT(Y20)</f>
        <v>7.1351103254607598E-4</v>
      </c>
      <c r="AB20" s="92" t="str">
        <f t="shared" ref="AB20:AB83" si="68">(IMDIV(IMPRODUCT(O20,S20,V20),IMPRODUCT(P20,Y20)))</f>
        <v>13,6722749639141-0,959836944094145i</v>
      </c>
      <c r="AC20" s="37">
        <f t="shared" ref="AC20:AC83" si="69">20*LOG(IMABS(AB20))</f>
        <v>22.738167240434883</v>
      </c>
      <c r="AD20" s="60">
        <f t="shared" ref="AD20:AD83" si="70">(180/PI())*IMARGUMENT(AB20)</f>
        <v>-4.0157563835676431</v>
      </c>
      <c r="AE20" t="str">
        <f t="shared" ref="AE20:AE83" si="71">COMPLEX($B$67,0)</f>
        <v>21,0353732052265</v>
      </c>
      <c r="AF20" t="str">
        <f t="shared" ref="AF20:AF82" si="72">IMSUM(COMPLEX(1,0),IMDIV(COMPLEX(0,2*PI()*N20),COMPLEX(wp_lf_DCM,0)))</f>
        <v>1+0,0355282346223453i</v>
      </c>
      <c r="AG20">
        <f t="shared" ref="AG20:AG83" si="73">IMABS(AF20)</f>
        <v>1.0006309286921828</v>
      </c>
      <c r="AH20">
        <f t="shared" ref="AH20:AH83" si="74">IMARGUMENT(AF20)</f>
        <v>3.5513297364171734E-2</v>
      </c>
      <c r="AI20" t="str">
        <f t="shared" si="50"/>
        <v>1+0,00197379081235252i</v>
      </c>
      <c r="AJ20">
        <f t="shared" ref="AJ20:AJ83" si="75">IMABS(AI20)</f>
        <v>1.0000019479231883</v>
      </c>
      <c r="AK20">
        <f t="shared" ref="AK20:AK83" si="76">IMARGUMENT(AI20)</f>
        <v>1.9737882491607534E-3</v>
      </c>
      <c r="AL20" t="str">
        <f t="shared" ref="AL20:AL82" si="77">IMSUB(COMPLEX(1,0),IMDIV(COMPLEX(0,2*PI()*N20),COMPLEX(wz2_dcm,0)))</f>
        <v>1-0,000134299454146032i</v>
      </c>
      <c r="AM20">
        <f t="shared" ref="AM20:AM83" si="78">IMABS(AL20)</f>
        <v>1.0000000090181715</v>
      </c>
      <c r="AN20">
        <f t="shared" ref="AN20:AN83" si="79">IMARGUMENT(AL20)</f>
        <v>-1.3429945333860832E-4</v>
      </c>
      <c r="AO20" s="58" t="str">
        <f t="shared" ref="AO20:AO83" si="80">(IMDIV(IMPRODUCT(AE20,AI20,AL20),IMPRODUCT(AF20)))</f>
        <v>21,010233243001-0,707762108899876i</v>
      </c>
      <c r="AP20">
        <f t="shared" ref="AP20:AP83" si="81">20*LOG(IMABS(AO20))</f>
        <v>26.453542980523004</v>
      </c>
      <c r="AQ20" s="60">
        <f t="shared" ref="AQ20:AQ83" si="82">(180/PI())*IMARGUMENT(AO20)</f>
        <v>-1.9293671110979007</v>
      </c>
      <c r="AR20" t="str">
        <f t="shared" ref="AR20:AR82" si="83">COMPLEX(adc_ea,0)</f>
        <v>-1,05811623246493</v>
      </c>
      <c r="AS20" t="str">
        <f t="shared" si="51"/>
        <v>1+0,00194536822465464i</v>
      </c>
      <c r="AT20">
        <f t="shared" ref="AT20:AT83" si="84">IMABS(AS20)</f>
        <v>1.0000018922269744</v>
      </c>
      <c r="AU20">
        <f t="shared" ref="AU20:AU83" si="85">IMARGUMENT(AS20)</f>
        <v>1.9453657706057371E-3</v>
      </c>
      <c r="AV20" t="str">
        <f t="shared" si="52"/>
        <v>1+0,00194536822465464i</v>
      </c>
      <c r="AW20">
        <f t="shared" ref="AW20:AW83" si="86">IMABS(AV20)</f>
        <v>1.0000018922269744</v>
      </c>
      <c r="AX20">
        <f t="shared" ref="AX20:AX83" si="87">IMARGUMENT(AV20)</f>
        <v>1.9453657706057371E-3</v>
      </c>
      <c r="AY20" t="str">
        <f t="shared" si="53"/>
        <v>1-13,0846927239517i</v>
      </c>
      <c r="AZ20">
        <f t="shared" ref="AZ20:AZ83" si="88">IMABS(AY20)</f>
        <v>13.122849678337193</v>
      </c>
      <c r="BA20">
        <f t="shared" ref="BA20:BA83" si="89">IMARGUMENT(AY20)</f>
        <v>-1.4945194221958933</v>
      </c>
      <c r="BB20" s="58" t="str">
        <f t="shared" ref="BB20:BB83" si="90">IMDIV(IMPRODUCT(AR20,AY20), AS20)</f>
        <v>-1,03117846227836+13,8471317898436i</v>
      </c>
      <c r="BC20">
        <f t="shared" ref="BC20:BC83" si="91">20*LOG(IMABS(BB20))</f>
        <v>22.851214183208839</v>
      </c>
      <c r="BD20" s="60">
        <f t="shared" ref="BD20:BD83" si="92">(180/PI())*IMARGUMENT(BB20)</f>
        <v>94.258883459579934</v>
      </c>
      <c r="BE20" s="58" t="str">
        <f t="shared" ref="BE20:BE83" si="93">IMPRODUCT(AB20,BB20)</f>
        <v>-0,807566811503493+190,311556476347i</v>
      </c>
      <c r="BF20" s="37">
        <f t="shared" ref="BF20:BF83" si="94">20*LOG(IMABS(BE20))</f>
        <v>45.589381423643744</v>
      </c>
      <c r="BG20" s="60">
        <f t="shared" ref="BG20:BG83" si="95">(180/PI())*IMARGUMENT(BE20)</f>
        <v>90.2431270760123</v>
      </c>
      <c r="BH20" s="58" t="str">
        <f t="shared" ref="BH20:BH83" si="96">IMPRODUCT(AO20,BB20)</f>
        <v>-11,8648248098332+291,661297694302i</v>
      </c>
      <c r="BI20" s="37">
        <f t="shared" ref="BI20:BI83" si="97">20*LOG(IMABS(BH20))</f>
        <v>49.304757163731836</v>
      </c>
      <c r="BJ20" s="60">
        <f t="shared" ref="BJ20:BJ83" si="98">(180/PI())*IMARGUMENT(BH20)</f>
        <v>92.329516348482031</v>
      </c>
      <c r="BK20">
        <f t="shared" ref="BK20:BK83" si="99">IF($B$19=0,BF20,BI20)</f>
        <v>45.589381423643744</v>
      </c>
      <c r="BL20" s="60">
        <f t="shared" ref="BL20:BL83" si="100">IF($B$19=0,BG20,BJ20)</f>
        <v>90.2431270760123</v>
      </c>
      <c r="BN20">
        <f>SUM((BK21&lt;0)*(BK20&gt;0))*N20</f>
        <v>0</v>
      </c>
      <c r="BO20">
        <f>IF(BN20&gt;0,BL20,0)</f>
        <v>0</v>
      </c>
    </row>
    <row r="21" spans="1:67" x14ac:dyDescent="0.25">
      <c r="A21" t="s">
        <v>456</v>
      </c>
      <c r="B21" s="29">
        <f>Lm</f>
        <v>1.0000000000000001E-5</v>
      </c>
      <c r="C21" t="s">
        <v>246</v>
      </c>
      <c r="E21" t="s">
        <v>457</v>
      </c>
      <c r="M21" s="66">
        <v>3</v>
      </c>
      <c r="N21" s="36">
        <f t="shared" si="54"/>
        <v>10.715193052376069</v>
      </c>
      <c r="O21" s="91" t="str">
        <f t="shared" si="55"/>
        <v>13,7404580152672</v>
      </c>
      <c r="P21" s="67" t="str">
        <f t="shared" si="56"/>
        <v>1+0,0727115870343047i</v>
      </c>
      <c r="Q21" s="67">
        <f t="shared" si="57"/>
        <v>1.0026400026375604</v>
      </c>
      <c r="R21" s="67">
        <f t="shared" si="58"/>
        <v>7.2583850548952805E-2</v>
      </c>
      <c r="S21" s="67" t="str">
        <f t="shared" si="59"/>
        <v>1+0,00201976630650847i</v>
      </c>
      <c r="T21" s="67">
        <f t="shared" si="60"/>
        <v>1.0000020397258862</v>
      </c>
      <c r="U21" s="67">
        <f t="shared" si="61"/>
        <v>2.0197635599993121E-3</v>
      </c>
      <c r="V21" t="str">
        <f t="shared" si="62"/>
        <v>1-0,000420784647189263i</v>
      </c>
      <c r="W21" s="67">
        <f t="shared" si="63"/>
        <v>1.0000000885298557</v>
      </c>
      <c r="X21" s="67">
        <f t="shared" si="64"/>
        <v>-4.2078462235459516E-4</v>
      </c>
      <c r="Y21" t="str">
        <f t="shared" si="65"/>
        <v>0,999999992651817+0,000730130958298479i</v>
      </c>
      <c r="Z21" s="67">
        <f t="shared" si="66"/>
        <v>1.0000002591973916</v>
      </c>
      <c r="AA21" s="67">
        <f t="shared" si="67"/>
        <v>7.3013083392152E-4</v>
      </c>
      <c r="AB21" s="92" t="str">
        <f t="shared" si="68"/>
        <v>13,6690784953023-0,981961998987595i</v>
      </c>
      <c r="AC21" s="37">
        <f t="shared" si="69"/>
        <v>22.737139867294669</v>
      </c>
      <c r="AD21" s="60">
        <f t="shared" si="70"/>
        <v>-4.1089669678820249</v>
      </c>
      <c r="AE21" t="str">
        <f t="shared" si="71"/>
        <v>21,0353732052265</v>
      </c>
      <c r="AF21" t="str">
        <f t="shared" si="72"/>
        <v>1+0,0363557935171524i</v>
      </c>
      <c r="AG21">
        <f t="shared" si="73"/>
        <v>1.0006606536295219</v>
      </c>
      <c r="AH21">
        <f t="shared" si="74"/>
        <v>3.6339788527316903E-2</v>
      </c>
      <c r="AI21" t="str">
        <f t="shared" si="50"/>
        <v>1+0,00201976630650847i</v>
      </c>
      <c r="AJ21">
        <f t="shared" si="75"/>
        <v>1.0000020397258862</v>
      </c>
      <c r="AK21">
        <f t="shared" si="76"/>
        <v>2.0197635599993121E-3</v>
      </c>
      <c r="AL21" t="str">
        <f t="shared" si="77"/>
        <v>1-0,000137427690294765i</v>
      </c>
      <c r="AM21">
        <f t="shared" si="78"/>
        <v>1.0000000094431849</v>
      </c>
      <c r="AN21">
        <f t="shared" si="79"/>
        <v>-1.3742768942959495E-4</v>
      </c>
      <c r="AO21" s="58" t="str">
        <f t="shared" si="80"/>
        <v>21,0090499970312-0,724204988392932i</v>
      </c>
      <c r="AP21">
        <f t="shared" si="81"/>
        <v>26.453285760703512</v>
      </c>
      <c r="AQ21" s="60">
        <f t="shared" si="82"/>
        <v>-1.9742666100034578</v>
      </c>
      <c r="AR21" t="str">
        <f t="shared" si="83"/>
        <v>-1,05811623246493</v>
      </c>
      <c r="AS21" t="str">
        <f t="shared" si="51"/>
        <v>1+0,00199068167169474i</v>
      </c>
      <c r="AT21">
        <f t="shared" si="84"/>
        <v>1.000001981404796</v>
      </c>
      <c r="AU21">
        <f t="shared" si="85"/>
        <v>1.9906790421342462E-3</v>
      </c>
      <c r="AV21" t="str">
        <f t="shared" si="52"/>
        <v>1+0,00199068167169474i</v>
      </c>
      <c r="AW21">
        <f t="shared" si="86"/>
        <v>1.000001981404796</v>
      </c>
      <c r="AX21">
        <f t="shared" si="87"/>
        <v>1.9906790421342462E-3</v>
      </c>
      <c r="AY21" t="str">
        <f t="shared" si="53"/>
        <v>1-12,7868487546153i</v>
      </c>
      <c r="AZ21">
        <f t="shared" si="88"/>
        <v>12.825891823705938</v>
      </c>
      <c r="BA21">
        <f t="shared" si="89"/>
        <v>-1.4927498295246024</v>
      </c>
      <c r="BB21" s="58" t="str">
        <f t="shared" si="90"/>
        <v>-1,03117827836224+13,5320249770314i</v>
      </c>
      <c r="BC21">
        <f t="shared" si="91"/>
        <v>22.652401781258575</v>
      </c>
      <c r="BD21" s="60">
        <f t="shared" si="92"/>
        <v>94.357677391887734</v>
      </c>
      <c r="BE21" s="58" t="str">
        <f t="shared" si="93"/>
        <v>-0,807322532788328+185,982889494967i</v>
      </c>
      <c r="BF21" s="37">
        <f t="shared" si="94"/>
        <v>45.389541648553262</v>
      </c>
      <c r="BG21" s="60">
        <f t="shared" si="95"/>
        <v>90.248710424005694</v>
      </c>
      <c r="BH21" s="58" t="str">
        <f t="shared" si="96"/>
        <v>-11,864116014541+285,04177375664i</v>
      </c>
      <c r="BI21" s="37">
        <f t="shared" si="97"/>
        <v>49.105687541962091</v>
      </c>
      <c r="BJ21" s="60">
        <f t="shared" si="98"/>
        <v>92.383410781884265</v>
      </c>
      <c r="BK21">
        <f t="shared" si="99"/>
        <v>45.389541648553262</v>
      </c>
      <c r="BL21" s="60">
        <f t="shared" si="100"/>
        <v>90.248710424005694</v>
      </c>
      <c r="BN21">
        <f t="shared" ref="BN21:BN84" si="101">SUM((BK22&lt;0)*(BK21&gt;0))*N21</f>
        <v>0</v>
      </c>
      <c r="BO21">
        <f t="shared" ref="BO21:BO84" si="102">IF(BN21&gt;0,BL21,0)</f>
        <v>0</v>
      </c>
    </row>
    <row r="22" spans="1:67" x14ac:dyDescent="0.25">
      <c r="M22" s="66">
        <v>4</v>
      </c>
      <c r="N22" s="36">
        <f t="shared" si="54"/>
        <v>10.964781961431854</v>
      </c>
      <c r="O22" s="91" t="str">
        <f t="shared" si="55"/>
        <v>13,7404580152672</v>
      </c>
      <c r="P22" s="67" t="str">
        <f t="shared" si="56"/>
        <v>1+0,0744052574698161i</v>
      </c>
      <c r="Q22" s="67">
        <f t="shared" si="57"/>
        <v>1.0027642506288053</v>
      </c>
      <c r="R22" s="67">
        <f t="shared" si="58"/>
        <v>7.4268405729398329E-2</v>
      </c>
      <c r="S22" s="67" t="str">
        <f t="shared" si="59"/>
        <v>1+0,00206681270749489i</v>
      </c>
      <c r="T22" s="67">
        <f t="shared" si="60"/>
        <v>1.000002135855103</v>
      </c>
      <c r="U22" s="67">
        <f t="shared" si="61"/>
        <v>2.0668097645576444E-3</v>
      </c>
      <c r="V22" t="str">
        <f t="shared" si="62"/>
        <v>1-0,000430585980728103i</v>
      </c>
      <c r="W22" s="67">
        <f t="shared" si="63"/>
        <v>1.0000000927021391</v>
      </c>
      <c r="X22" s="67">
        <f t="shared" si="64"/>
        <v>-4.3058595411727709E-4</v>
      </c>
      <c r="Y22" t="str">
        <f t="shared" si="65"/>
        <v>0,999999992305508+0,000747137893074065i</v>
      </c>
      <c r="Z22" s="67">
        <f t="shared" si="66"/>
        <v>1.0000002714129868</v>
      </c>
      <c r="AA22" s="67">
        <f t="shared" si="67"/>
        <v>7.4713775980175421E-4</v>
      </c>
      <c r="AB22" s="92" t="str">
        <f t="shared" si="68"/>
        <v>13,6657330032321-1,0045859107686i</v>
      </c>
      <c r="AC22" s="37">
        <f t="shared" si="69"/>
        <v>22.736064336344501</v>
      </c>
      <c r="AD22" s="60">
        <f t="shared" si="70"/>
        <v>-4.2043253211341751</v>
      </c>
      <c r="AE22" t="str">
        <f t="shared" si="71"/>
        <v>21,0353732052265</v>
      </c>
      <c r="AF22" t="str">
        <f t="shared" si="72"/>
        <v>1+0,0372026287349081i</v>
      </c>
      <c r="AG22">
        <f t="shared" si="73"/>
        <v>1.0006917785136378</v>
      </c>
      <c r="AH22">
        <f t="shared" si="74"/>
        <v>3.7185479719560037E-2</v>
      </c>
      <c r="AI22" t="str">
        <f t="shared" si="50"/>
        <v>1+0,00206681270749489i</v>
      </c>
      <c r="AJ22">
        <f t="shared" si="75"/>
        <v>1.000002135855103</v>
      </c>
      <c r="AK22">
        <f t="shared" si="76"/>
        <v>2.0668097645576444E-3</v>
      </c>
      <c r="AL22" t="str">
        <f t="shared" si="77"/>
        <v>1-0,000140628792423963i</v>
      </c>
      <c r="AM22">
        <f t="shared" si="78"/>
        <v>1.0000000098882287</v>
      </c>
      <c r="AN22">
        <f t="shared" si="79"/>
        <v>-1.4062879149691657E-4</v>
      </c>
      <c r="AO22" s="58" t="str">
        <f t="shared" si="80"/>
        <v>21,0078111370751-0,741027800750253i</v>
      </c>
      <c r="AP22">
        <f t="shared" si="81"/>
        <v>26.453016434916311</v>
      </c>
      <c r="AQ22" s="60">
        <f t="shared" si="82"/>
        <v>-2.0202090067653287</v>
      </c>
      <c r="AR22" t="str">
        <f t="shared" si="83"/>
        <v>-1,05811623246493</v>
      </c>
      <c r="AS22" t="str">
        <f t="shared" si="51"/>
        <v>1+0,00203705060450697i</v>
      </c>
      <c r="AT22">
        <f t="shared" si="84"/>
        <v>1.0000020747854304</v>
      </c>
      <c r="AU22">
        <f t="shared" si="85"/>
        <v>2.0370477868824522E-3</v>
      </c>
      <c r="AV22" t="str">
        <f t="shared" si="52"/>
        <v>1+0,00203705060450697i</v>
      </c>
      <c r="AW22">
        <f t="shared" si="86"/>
        <v>1.0000020747854304</v>
      </c>
      <c r="AX22">
        <f t="shared" si="87"/>
        <v>2.0370477868824522E-3</v>
      </c>
      <c r="AY22" t="str">
        <f t="shared" si="53"/>
        <v>1-12,4957845417425i</v>
      </c>
      <c r="AZ22">
        <f t="shared" si="88"/>
        <v>12.535734175294673</v>
      </c>
      <c r="BA22">
        <f t="shared" si="89"/>
        <v>-1.4909395247310115</v>
      </c>
      <c r="BB22" s="58" t="str">
        <f t="shared" si="90"/>
        <v>-1,03117808577848+13,2240930229451i</v>
      </c>
      <c r="BC22">
        <f t="shared" si="91"/>
        <v>22.453645000651864</v>
      </c>
      <c r="BD22" s="60">
        <f t="shared" si="92"/>
        <v>94.458743482817368</v>
      </c>
      <c r="BE22" s="58" t="str">
        <f t="shared" si="93"/>
        <v>-0,807066865488686+181,752831437939i</v>
      </c>
      <c r="BF22" s="37">
        <f t="shared" si="94"/>
        <v>45.189709336996387</v>
      </c>
      <c r="BG22" s="60">
        <f t="shared" si="95"/>
        <v>90.254418161683191</v>
      </c>
      <c r="BH22" s="58" t="str">
        <f t="shared" si="96"/>
        <v>-11,8633739050152+278,57338031423i</v>
      </c>
      <c r="BI22" s="37">
        <f t="shared" si="97"/>
        <v>48.906661435568196</v>
      </c>
      <c r="BJ22" s="60">
        <f t="shared" si="98"/>
        <v>92.438534476052041</v>
      </c>
      <c r="BK22">
        <f t="shared" si="99"/>
        <v>45.189709336996387</v>
      </c>
      <c r="BL22" s="60">
        <f t="shared" si="100"/>
        <v>90.254418161683191</v>
      </c>
      <c r="BN22">
        <f t="shared" si="101"/>
        <v>0</v>
      </c>
      <c r="BO22">
        <f t="shared" si="102"/>
        <v>0</v>
      </c>
    </row>
    <row r="23" spans="1:67" x14ac:dyDescent="0.25">
      <c r="A23" t="s">
        <v>458</v>
      </c>
      <c r="B23" s="29">
        <f>Rcs</f>
        <v>6.5499999999999994E-3</v>
      </c>
      <c r="C23" s="70" t="s">
        <v>459</v>
      </c>
      <c r="E23" t="s">
        <v>693</v>
      </c>
      <c r="M23" s="66">
        <v>5</v>
      </c>
      <c r="N23" s="36">
        <f t="shared" si="54"/>
        <v>11.220184543019636</v>
      </c>
      <c r="O23" s="91" t="str">
        <f t="shared" si="55"/>
        <v>13,7404580152672</v>
      </c>
      <c r="P23" s="67" t="str">
        <f t="shared" si="56"/>
        <v>1+0,0761383785577081i</v>
      </c>
      <c r="Q23" s="67">
        <f t="shared" si="57"/>
        <v>1.0028943377491952</v>
      </c>
      <c r="R23" s="67">
        <f t="shared" si="58"/>
        <v>7.5991762122700604E-2</v>
      </c>
      <c r="S23" s="67" t="str">
        <f t="shared" si="59"/>
        <v>1+0,00211495495993634i</v>
      </c>
      <c r="T23" s="67">
        <f t="shared" si="60"/>
        <v>1.0000022365147403</v>
      </c>
      <c r="U23" s="67">
        <f t="shared" si="61"/>
        <v>2.1149518065226485E-3</v>
      </c>
      <c r="V23" t="str">
        <f t="shared" si="62"/>
        <v>1-0,000440615616653403i</v>
      </c>
      <c r="W23" s="67">
        <f t="shared" si="63"/>
        <v>1.0000000970710561</v>
      </c>
      <c r="X23" s="67">
        <f t="shared" si="64"/>
        <v>-4.406155881393894E-4</v>
      </c>
      <c r="Y23" t="str">
        <f t="shared" si="65"/>
        <v>0,999999991942877+0,000764540970250098i</v>
      </c>
      <c r="Z23" s="67">
        <f t="shared" si="66"/>
        <v>1.0000002842042841</v>
      </c>
      <c r="AA23" s="67">
        <f t="shared" si="67"/>
        <v>7.645408274462469E-4</v>
      </c>
      <c r="AB23" s="92" t="str">
        <f t="shared" si="68"/>
        <v>13,6622316195583-1,02771913372662i</v>
      </c>
      <c r="AC23" s="37">
        <f t="shared" si="69"/>
        <v>22.734938402996004</v>
      </c>
      <c r="AD23" s="60">
        <f t="shared" si="70"/>
        <v>-4.3018798112717276</v>
      </c>
      <c r="AE23" t="str">
        <f t="shared" si="71"/>
        <v>21,0353732052265</v>
      </c>
      <c r="AF23" t="str">
        <f t="shared" si="72"/>
        <v>1+0,0380691892788541i</v>
      </c>
      <c r="AG23">
        <f t="shared" si="73"/>
        <v>1.0007243692307835</v>
      </c>
      <c r="AH23">
        <f t="shared" si="74"/>
        <v>3.8050814496139486E-2</v>
      </c>
      <c r="AI23" t="str">
        <f t="shared" si="50"/>
        <v>1+0,00211495495993634i</v>
      </c>
      <c r="AJ23">
        <f t="shared" si="75"/>
        <v>1.0000022365147403</v>
      </c>
      <c r="AK23">
        <f t="shared" si="76"/>
        <v>2.1149518065226485E-3</v>
      </c>
      <c r="AL23" t="str">
        <f t="shared" si="77"/>
        <v>1-0,000143904457800346i</v>
      </c>
      <c r="AM23">
        <f t="shared" si="78"/>
        <v>1.0000000103542463</v>
      </c>
      <c r="AN23">
        <f t="shared" si="79"/>
        <v>-1.4390445680699786E-4</v>
      </c>
      <c r="AO23" s="58" t="str">
        <f t="shared" si="80"/>
        <v>21,0065140566329-0,758239176792086i</v>
      </c>
      <c r="AP23">
        <f t="shared" si="81"/>
        <v>26.452734434207635</v>
      </c>
      <c r="AQ23" s="60">
        <f t="shared" si="82"/>
        <v>-2.0672183833048479</v>
      </c>
      <c r="AR23" t="str">
        <f t="shared" si="83"/>
        <v>-1,05811623246493</v>
      </c>
      <c r="AS23" t="str">
        <f t="shared" si="51"/>
        <v>1+0,00208449960851325i</v>
      </c>
      <c r="AT23">
        <f t="shared" si="84"/>
        <v>1.0000021725669488</v>
      </c>
      <c r="AU23">
        <f t="shared" si="85"/>
        <v>2.0844965893745382E-3</v>
      </c>
      <c r="AV23" t="str">
        <f t="shared" si="52"/>
        <v>1+0,00208449960851325i</v>
      </c>
      <c r="AW23">
        <f t="shared" si="86"/>
        <v>1.0000021725669488</v>
      </c>
      <c r="AX23">
        <f t="shared" si="87"/>
        <v>2.0844965893745382E-3</v>
      </c>
      <c r="AY23" t="str">
        <f t="shared" si="53"/>
        <v>1-12,2113457592351i</v>
      </c>
      <c r="AZ23">
        <f t="shared" si="88"/>
        <v>12.25222286981383</v>
      </c>
      <c r="BA23">
        <f t="shared" si="89"/>
        <v>-1.4890875954559428</v>
      </c>
      <c r="BB23" s="58" t="str">
        <f t="shared" si="90"/>
        <v>-1,03117788411861+12,9231726579842i</v>
      </c>
      <c r="BC23">
        <f t="shared" si="91"/>
        <v>22.25494642934509</v>
      </c>
      <c r="BD23" s="60">
        <f t="shared" si="92"/>
        <v>94.562132598109784</v>
      </c>
      <c r="BE23" s="58" t="str">
        <f t="shared" si="93"/>
        <v>-0,806799284731436+177,619139354707i</v>
      </c>
      <c r="BF23" s="37">
        <f t="shared" si="94"/>
        <v>44.989884832341069</v>
      </c>
      <c r="BG23" s="60">
        <f t="shared" si="95"/>
        <v>90.260252786838052</v>
      </c>
      <c r="BH23" s="58" t="str">
        <f t="shared" si="96"/>
        <v>-11,8625969198946+272,252687566219i</v>
      </c>
      <c r="BI23" s="37">
        <f t="shared" si="97"/>
        <v>48.70768086355271</v>
      </c>
      <c r="BJ23" s="60">
        <f t="shared" si="98"/>
        <v>92.494914214804936</v>
      </c>
      <c r="BK23">
        <f t="shared" si="99"/>
        <v>44.989884832341069</v>
      </c>
      <c r="BL23" s="60">
        <f t="shared" si="100"/>
        <v>90.260252786838052</v>
      </c>
      <c r="BN23">
        <f t="shared" si="101"/>
        <v>0</v>
      </c>
      <c r="BO23">
        <f t="shared" si="102"/>
        <v>0</v>
      </c>
    </row>
    <row r="24" spans="1:67" x14ac:dyDescent="0.25">
      <c r="A24" t="s">
        <v>460</v>
      </c>
      <c r="B24" s="29">
        <f>Rslope</f>
        <v>142000</v>
      </c>
      <c r="C24" s="70" t="s">
        <v>459</v>
      </c>
      <c r="E24" t="s">
        <v>475</v>
      </c>
      <c r="M24" s="66">
        <v>6</v>
      </c>
      <c r="N24" s="36">
        <f t="shared" si="54"/>
        <v>11.481536214968834</v>
      </c>
      <c r="O24" s="91" t="str">
        <f t="shared" si="55"/>
        <v>13,7404580152672</v>
      </c>
      <c r="P24" s="67" t="str">
        <f t="shared" si="56"/>
        <v>1+0,0779118692217219i</v>
      </c>
      <c r="Q24" s="67">
        <f t="shared" si="57"/>
        <v>1.0030305376037276</v>
      </c>
      <c r="R24" s="67">
        <f t="shared" si="58"/>
        <v>7.7754792505956696E-2</v>
      </c>
      <c r="S24" s="67" t="str">
        <f t="shared" si="59"/>
        <v>1+0,00216421858949228i</v>
      </c>
      <c r="T24" s="67">
        <f t="shared" si="60"/>
        <v>1.0000023419183093</v>
      </c>
      <c r="U24" s="67">
        <f t="shared" si="61"/>
        <v>2.1642152105490592E-3</v>
      </c>
      <c r="V24" t="str">
        <f t="shared" si="62"/>
        <v>1-0,000450878872810891i</v>
      </c>
      <c r="W24" s="67">
        <f t="shared" si="63"/>
        <v>1.0000001016458737</v>
      </c>
      <c r="X24" s="67">
        <f t="shared" si="64"/>
        <v>-4.5087884225757514E-4</v>
      </c>
      <c r="Y24" t="str">
        <f t="shared" si="65"/>
        <v>0,999999991563157+0,000782349417168454i</v>
      </c>
      <c r="Z24" s="67">
        <f t="shared" si="66"/>
        <v>1.0000002975984179</v>
      </c>
      <c r="AA24" s="67">
        <f t="shared" si="67"/>
        <v>7.8234926415137265E-4</v>
      </c>
      <c r="AB24" s="92" t="str">
        <f t="shared" si="68"/>
        <v>13,6585671672207-1,05137228406773i</v>
      </c>
      <c r="AC24" s="37">
        <f t="shared" si="69"/>
        <v>22.733759719269486</v>
      </c>
      <c r="AD24" s="60">
        <f t="shared" si="70"/>
        <v>-4.4016798156584231</v>
      </c>
      <c r="AE24" t="str">
        <f t="shared" si="71"/>
        <v>21,0353732052265</v>
      </c>
      <c r="AF24" t="str">
        <f t="shared" si="72"/>
        <v>1+0,038955934610861i</v>
      </c>
      <c r="AG24">
        <f t="shared" si="73"/>
        <v>1.0007584947635497</v>
      </c>
      <c r="AH24">
        <f t="shared" si="74"/>
        <v>3.8936246482318075E-2</v>
      </c>
      <c r="AI24" t="str">
        <f t="shared" si="50"/>
        <v>1+0,00216421858949228i</v>
      </c>
      <c r="AJ24">
        <f t="shared" si="75"/>
        <v>1.0000023419183093</v>
      </c>
      <c r="AK24">
        <f t="shared" si="76"/>
        <v>2.1642152105490592E-3</v>
      </c>
      <c r="AL24" t="str">
        <f t="shared" si="77"/>
        <v>1-0,000147256423225056i</v>
      </c>
      <c r="AM24">
        <f t="shared" si="78"/>
        <v>1.0000000108422271</v>
      </c>
      <c r="AN24">
        <f t="shared" si="79"/>
        <v>-1.472564221606643E-4</v>
      </c>
      <c r="AO24" s="58" t="str">
        <f t="shared" si="80"/>
        <v>21,0051560277585-0,775847932800039i</v>
      </c>
      <c r="AP24">
        <f t="shared" si="81"/>
        <v>26.452439162961841</v>
      </c>
      <c r="AQ24" s="60">
        <f t="shared" si="82"/>
        <v>-2.115319367491447</v>
      </c>
      <c r="AR24" t="str">
        <f t="shared" si="83"/>
        <v>-1,05811623246493</v>
      </c>
      <c r="AS24" t="str">
        <f t="shared" si="51"/>
        <v>1+0,00213305384180359i</v>
      </c>
      <c r="AT24">
        <f t="shared" si="84"/>
        <v>1.0000022749567583</v>
      </c>
      <c r="AU24">
        <f t="shared" si="85"/>
        <v>2.1330506067385731E-3</v>
      </c>
      <c r="AV24" t="str">
        <f t="shared" si="52"/>
        <v>1+0,00213305384180359i</v>
      </c>
      <c r="AW24">
        <f t="shared" si="86"/>
        <v>1.0000022749567583</v>
      </c>
      <c r="AX24">
        <f t="shared" si="87"/>
        <v>2.1330506067385731E-3</v>
      </c>
      <c r="AY24" t="str">
        <f t="shared" si="53"/>
        <v>1-11,9333815938854i</v>
      </c>
      <c r="AZ24">
        <f t="shared" si="88"/>
        <v>11.975207566688889</v>
      </c>
      <c r="BA24">
        <f t="shared" si="89"/>
        <v>-1.4871931106219356</v>
      </c>
      <c r="BB24" s="58" t="str">
        <f t="shared" si="90"/>
        <v>-1,03117767295489+12,6291043301853i</v>
      </c>
      <c r="BC24">
        <f t="shared" si="91"/>
        <v>22.056308774071361</v>
      </c>
      <c r="BD24" s="60">
        <f t="shared" si="92"/>
        <v>94.667896643176562</v>
      </c>
      <c r="BE24" s="58" t="str">
        <f t="shared" si="93"/>
        <v>-0,806519242036128+173,579621380968i</v>
      </c>
      <c r="BF24" s="37">
        <f t="shared" si="94"/>
        <v>44.790068493340847</v>
      </c>
      <c r="BG24" s="60">
        <f t="shared" si="95"/>
        <v>90.26621682751815</v>
      </c>
      <c r="BH24" s="58" t="str">
        <f t="shared" si="96"/>
        <v>-11,8617834250681+266,076344012294i</v>
      </c>
      <c r="BI24" s="37">
        <f t="shared" si="97"/>
        <v>48.508747937033192</v>
      </c>
      <c r="BJ24" s="60">
        <f t="shared" si="98"/>
        <v>92.552577275685124</v>
      </c>
      <c r="BK24">
        <f t="shared" si="99"/>
        <v>44.790068493340847</v>
      </c>
      <c r="BL24" s="60">
        <f t="shared" si="100"/>
        <v>90.26621682751815</v>
      </c>
      <c r="BN24">
        <f t="shared" si="101"/>
        <v>0</v>
      </c>
      <c r="BO24">
        <f t="shared" si="102"/>
        <v>0</v>
      </c>
    </row>
    <row r="25" spans="1:67" x14ac:dyDescent="0.25">
      <c r="A25" t="s">
        <v>461</v>
      </c>
      <c r="B25" s="21">
        <v>1000</v>
      </c>
      <c r="C25" s="70" t="s">
        <v>459</v>
      </c>
      <c r="E25" t="s">
        <v>694</v>
      </c>
      <c r="M25" s="66">
        <v>7</v>
      </c>
      <c r="N25" s="36">
        <f t="shared" si="54"/>
        <v>11.748975549395301</v>
      </c>
      <c r="O25" s="91" t="str">
        <f t="shared" si="55"/>
        <v>13,7404580152672</v>
      </c>
      <c r="P25" s="67" t="str">
        <f t="shared" si="56"/>
        <v>1+0,0797266697900826i</v>
      </c>
      <c r="Q25" s="67">
        <f t="shared" si="57"/>
        <v>1.0031731365401571</v>
      </c>
      <c r="R25" s="67">
        <f t="shared" si="58"/>
        <v>7.9558387796826099E-2</v>
      </c>
      <c r="S25" s="67" t="str">
        <f t="shared" si="59"/>
        <v>1+0,00221462971639119i</v>
      </c>
      <c r="T25" s="67">
        <f t="shared" si="60"/>
        <v>1.0000024522893836</v>
      </c>
      <c r="U25" s="67">
        <f t="shared" si="61"/>
        <v>2.214626095788777E-3</v>
      </c>
      <c r="V25" t="str">
        <f t="shared" si="62"/>
        <v>1-0,00046138119091483i</v>
      </c>
      <c r="W25" s="67">
        <f t="shared" si="63"/>
        <v>1.000000106436296</v>
      </c>
      <c r="X25" s="67">
        <f t="shared" si="64"/>
        <v>-4.6138115817636244E-4</v>
      </c>
      <c r="Y25" t="str">
        <f t="shared" si="65"/>
        <v>0,999999991165541+0,000800572676103412i</v>
      </c>
      <c r="Z25" s="67">
        <f t="shared" si="66"/>
        <v>1.0000003116237974</v>
      </c>
      <c r="AA25" s="67">
        <f t="shared" si="67"/>
        <v>8.0057251214265797E-4</v>
      </c>
      <c r="AB25" s="92" t="str">
        <f t="shared" si="68"/>
        <v>13,6547321470815-1,07555613806309i</v>
      </c>
      <c r="AC25" s="37">
        <f t="shared" si="69"/>
        <v>22.732525829148805</v>
      </c>
      <c r="AD25" s="60">
        <f t="shared" si="70"/>
        <v>-4.5037757363853377</v>
      </c>
      <c r="AE25" t="str">
        <f t="shared" si="71"/>
        <v>21,0353732052265</v>
      </c>
      <c r="AF25" t="str">
        <f t="shared" si="72"/>
        <v>1+0,0398633348950414i</v>
      </c>
      <c r="AG25">
        <f t="shared" si="73"/>
        <v>1.0007942273359465</v>
      </c>
      <c r="AH25">
        <f t="shared" si="74"/>
        <v>3.9842239589329261E-2</v>
      </c>
      <c r="AI25" t="str">
        <f t="shared" si="50"/>
        <v>1+0,00221462971639119i</v>
      </c>
      <c r="AJ25">
        <f t="shared" si="75"/>
        <v>1.0000024522893836</v>
      </c>
      <c r="AK25">
        <f t="shared" si="76"/>
        <v>2.214626095788777E-3</v>
      </c>
      <c r="AL25" t="str">
        <f t="shared" si="77"/>
        <v>1-0,000150686465954528i</v>
      </c>
      <c r="AM25">
        <f t="shared" si="78"/>
        <v>1.0000000113532055</v>
      </c>
      <c r="AN25">
        <f t="shared" si="79"/>
        <v>-1.5068646481401174E-4</v>
      </c>
      <c r="AO25" s="58" t="str">
        <f t="shared" si="80"/>
        <v>21,0037341954713-0,793863073733161i</v>
      </c>
      <c r="AP25">
        <f t="shared" si="81"/>
        <v>26.452129997660091</v>
      </c>
      <c r="AQ25" s="60">
        <f t="shared" si="82"/>
        <v>-2.164537144792964</v>
      </c>
      <c r="AR25" t="str">
        <f t="shared" si="83"/>
        <v>-1,05811623246493</v>
      </c>
      <c r="AS25" t="str">
        <f t="shared" si="51"/>
        <v>1+0,00218273904847515i</v>
      </c>
      <c r="AT25">
        <f t="shared" si="84"/>
        <v>1.0000023821720396</v>
      </c>
      <c r="AU25">
        <f t="shared" si="85"/>
        <v>2.1827355820409765E-3</v>
      </c>
      <c r="AV25" t="str">
        <f t="shared" si="52"/>
        <v>1+0,00218273904847515i</v>
      </c>
      <c r="AW25">
        <f t="shared" si="86"/>
        <v>1.0000023821720396</v>
      </c>
      <c r="AX25">
        <f t="shared" si="87"/>
        <v>2.1827355820409765E-3</v>
      </c>
      <c r="AY25" t="str">
        <f t="shared" si="53"/>
        <v>1-11,6617446654138i</v>
      </c>
      <c r="AZ25">
        <f t="shared" si="88"/>
        <v>11.704541368259894</v>
      </c>
      <c r="BA25">
        <f t="shared" si="89"/>
        <v>-1.4852551201738804</v>
      </c>
      <c r="BB25" s="58" t="str">
        <f t="shared" si="90"/>
        <v>-1,03117745183942+12,3417321206256i</v>
      </c>
      <c r="BC25">
        <f t="shared" si="91"/>
        <v>21.857734865635322</v>
      </c>
      <c r="BD25" s="60">
        <f t="shared" si="92"/>
        <v>94.776088577196802</v>
      </c>
      <c r="BE25" s="58" t="str">
        <f t="shared" si="93"/>
        <v>-0,80622616430805+169,632135575933i</v>
      </c>
      <c r="BF25" s="37">
        <f t="shared" si="94"/>
        <v>44.590260694784135</v>
      </c>
      <c r="BG25" s="60">
        <f t="shared" si="95"/>
        <v>90.27231284081148</v>
      </c>
      <c r="BH25" s="58" t="str">
        <f t="shared" si="96"/>
        <v>-11,8609317103275+260,041074674812i</v>
      </c>
      <c r="BI25" s="37">
        <f t="shared" si="97"/>
        <v>48.309864863295417</v>
      </c>
      <c r="BJ25" s="60">
        <f t="shared" si="98"/>
        <v>92.611551432403857</v>
      </c>
      <c r="BK25">
        <f t="shared" si="99"/>
        <v>44.590260694784135</v>
      </c>
      <c r="BL25" s="60">
        <f t="shared" si="100"/>
        <v>90.27231284081148</v>
      </c>
      <c r="BN25">
        <f t="shared" si="101"/>
        <v>0</v>
      </c>
      <c r="BO25">
        <f t="shared" si="102"/>
        <v>0</v>
      </c>
    </row>
    <row r="26" spans="1:67" x14ac:dyDescent="0.25">
      <c r="A26" t="s">
        <v>462</v>
      </c>
      <c r="B26" s="23">
        <f>Vsl/(R_sl+Rsl_int)</f>
        <v>8.3916083916083915E-6</v>
      </c>
      <c r="C26" s="70" t="s">
        <v>33</v>
      </c>
      <c r="E26" t="s">
        <v>695</v>
      </c>
      <c r="M26" s="66">
        <v>8</v>
      </c>
      <c r="N26" s="36">
        <f t="shared" si="54"/>
        <v>12.022644346174133</v>
      </c>
      <c r="O26" s="91" t="str">
        <f t="shared" si="55"/>
        <v>13,7404580152672</v>
      </c>
      <c r="P26" s="67" t="str">
        <f t="shared" si="56"/>
        <v>1+0,0815837424940731i</v>
      </c>
      <c r="Q26" s="67">
        <f t="shared" si="57"/>
        <v>1.0033224342350466</v>
      </c>
      <c r="R26" s="67">
        <f t="shared" si="58"/>
        <v>8.140345732307587E-2</v>
      </c>
      <c r="S26" s="67" t="str">
        <f t="shared" si="59"/>
        <v>1+0,00226621506927981i</v>
      </c>
      <c r="T26" s="67">
        <f t="shared" si="60"/>
        <v>1.0000025678620732</v>
      </c>
      <c r="U26" s="67">
        <f t="shared" si="61"/>
        <v>2.2662111897349662E-3</v>
      </c>
      <c r="V26" t="str">
        <f t="shared" si="62"/>
        <v>1-0,000472128139433294i</v>
      </c>
      <c r="W26" s="67">
        <f t="shared" si="63"/>
        <v>1.0000001114524839</v>
      </c>
      <c r="X26" s="67">
        <f t="shared" si="64"/>
        <v>-4.7212810435339419E-4</v>
      </c>
      <c r="Y26" t="str">
        <f t="shared" si="65"/>
        <v>0,999999990749185+0,00081922040926807i</v>
      </c>
      <c r="Z26" s="67">
        <f t="shared" si="66"/>
        <v>1.0000003263101713</v>
      </c>
      <c r="AA26" s="67">
        <f t="shared" si="67"/>
        <v>8.1922023358096052E-4</v>
      </c>
      <c r="AB26" s="92" t="str">
        <f t="shared" si="68"/>
        <v>13,6507187242748-1,1002816297775i</v>
      </c>
      <c r="AC26" s="37">
        <f t="shared" si="69"/>
        <v>22.731234163739952</v>
      </c>
      <c r="AD26" s="60">
        <f t="shared" si="70"/>
        <v>-4.6082190153732903</v>
      </c>
      <c r="AE26" t="str">
        <f t="shared" si="71"/>
        <v>21,0353732052265</v>
      </c>
      <c r="AF26" t="str">
        <f t="shared" si="72"/>
        <v>1+0,0407918712470366i</v>
      </c>
      <c r="AG26">
        <f t="shared" si="73"/>
        <v>1.0008316425652393</v>
      </c>
      <c r="AH26">
        <f t="shared" si="74"/>
        <v>4.0769268234033387E-2</v>
      </c>
      <c r="AI26" t="str">
        <f t="shared" si="50"/>
        <v>1+0,00226621506927981i</v>
      </c>
      <c r="AJ26">
        <f t="shared" si="75"/>
        <v>1.0000025678620732</v>
      </c>
      <c r="AK26">
        <f t="shared" si="76"/>
        <v>2.2662111897349662E-3</v>
      </c>
      <c r="AL26" t="str">
        <f t="shared" si="77"/>
        <v>1-0,000154196404642821i</v>
      </c>
      <c r="AM26">
        <f t="shared" si="78"/>
        <v>1.0000000118882655</v>
      </c>
      <c r="AN26">
        <f t="shared" si="79"/>
        <v>-1.5419640342073581E-4</v>
      </c>
      <c r="AO26" s="58" t="str">
        <f t="shared" si="80"/>
        <v>21,0022455719147-0,812293796441146i</v>
      </c>
      <c r="AP26">
        <f t="shared" si="81"/>
        <v>26.451806285580886</v>
      </c>
      <c r="AQ26" s="60">
        <f t="shared" si="82"/>
        <v>-2.2148974701218584</v>
      </c>
      <c r="AR26" t="str">
        <f t="shared" si="83"/>
        <v>-1,05811623246493</v>
      </c>
      <c r="AS26" t="str">
        <f t="shared" si="51"/>
        <v>1+0,00223358157228218i</v>
      </c>
      <c r="AT26">
        <f t="shared" si="84"/>
        <v>1.0000024944402088</v>
      </c>
      <c r="AU26">
        <f t="shared" si="85"/>
        <v>2.2335778579315431E-3</v>
      </c>
      <c r="AV26" t="str">
        <f t="shared" si="52"/>
        <v>1+0,00223358157228218i</v>
      </c>
      <c r="AW26">
        <f t="shared" si="86"/>
        <v>1.0000024944402088</v>
      </c>
      <c r="AX26">
        <f t="shared" si="87"/>
        <v>2.2335778579315431E-3</v>
      </c>
      <c r="AY26" t="str">
        <f t="shared" si="53"/>
        <v>1-11,3962909483252i</v>
      </c>
      <c r="AZ26">
        <f t="shared" si="88"/>
        <v>11.440080741798935</v>
      </c>
      <c r="BA26">
        <f t="shared" si="89"/>
        <v>-1.4832726548256918</v>
      </c>
      <c r="BB26" s="58" t="str">
        <f t="shared" si="90"/>
        <v>-1,0311772203032+12,060903660753i</v>
      </c>
      <c r="BC26">
        <f t="shared" si="91"/>
        <v>21.659227664429167</v>
      </c>
      <c r="BD26" s="60">
        <f t="shared" si="92"/>
        <v>94.886762426849572</v>
      </c>
      <c r="BE26" s="58" t="str">
        <f t="shared" si="93"/>
        <v>-0,805919452795804+165,77458878606i</v>
      </c>
      <c r="BF26" s="37">
        <f t="shared" si="94"/>
        <v>44.390461828169109</v>
      </c>
      <c r="BG26" s="60">
        <f t="shared" si="95"/>
        <v>90.278543411476278</v>
      </c>
      <c r="BH26" s="58" t="str">
        <f t="shared" si="96"/>
        <v>-11,8600399858682+254,143679361423i</v>
      </c>
      <c r="BI26" s="37">
        <f t="shared" si="97"/>
        <v>48.111033950010047</v>
      </c>
      <c r="BJ26" s="60">
        <f t="shared" si="98"/>
        <v>92.671864956727703</v>
      </c>
      <c r="BK26">
        <f t="shared" si="99"/>
        <v>44.390461828169109</v>
      </c>
      <c r="BL26" s="60">
        <f t="shared" si="100"/>
        <v>90.278543411476278</v>
      </c>
      <c r="BN26">
        <f t="shared" si="101"/>
        <v>0</v>
      </c>
      <c r="BO26">
        <f t="shared" si="102"/>
        <v>0</v>
      </c>
    </row>
    <row r="27" spans="1:67" x14ac:dyDescent="0.25">
      <c r="A27" t="s">
        <v>463</v>
      </c>
      <c r="B27" s="21">
        <v>1.2</v>
      </c>
      <c r="C27" s="70" t="s">
        <v>34</v>
      </c>
      <c r="E27" t="s">
        <v>702</v>
      </c>
      <c r="M27" s="66">
        <v>9</v>
      </c>
      <c r="N27" s="36">
        <f t="shared" si="54"/>
        <v>12.302687708123818</v>
      </c>
      <c r="O27" s="91" t="str">
        <f t="shared" si="55"/>
        <v>13,7404580152672</v>
      </c>
      <c r="P27" s="67" t="str">
        <f t="shared" si="56"/>
        <v>1+0,0834840719782227i</v>
      </c>
      <c r="Q27" s="67">
        <f t="shared" si="57"/>
        <v>1.0034787443060591</v>
      </c>
      <c r="R27" s="67">
        <f t="shared" si="58"/>
        <v>8.3290929087890139E-2</v>
      </c>
      <c r="S27" s="67" t="str">
        <f t="shared" si="59"/>
        <v>1+0,00231900199939508i</v>
      </c>
      <c r="T27" s="67">
        <f t="shared" si="60"/>
        <v>1.0000026888815214</v>
      </c>
      <c r="U27" s="67">
        <f t="shared" si="61"/>
        <v>2.3189978423884881E-3</v>
      </c>
      <c r="V27" t="str">
        <f t="shared" si="62"/>
        <v>1-0,000483125416540641i</v>
      </c>
      <c r="W27" s="67">
        <f t="shared" si="63"/>
        <v>1.0000001167050772</v>
      </c>
      <c r="X27" s="67">
        <f t="shared" si="64"/>
        <v>-4.8312537895185139E-4</v>
      </c>
      <c r="Y27" t="str">
        <f t="shared" si="65"/>
        <v>0,999999990313208+0,000838302503937388i</v>
      </c>
      <c r="Z27" s="67">
        <f t="shared" si="66"/>
        <v>1.0000003416886938</v>
      </c>
      <c r="AA27" s="67">
        <f t="shared" si="67"/>
        <v>8.3830231568526154E-4</v>
      </c>
      <c r="AB27" s="92" t="str">
        <f t="shared" si="68"/>
        <v>13,6465187140522-1,12555984834425i</v>
      </c>
      <c r="AC27" s="37">
        <f t="shared" si="69"/>
        <v>22.729882036223042</v>
      </c>
      <c r="AD27" s="60">
        <f t="shared" si="70"/>
        <v>-4.7150621492251394</v>
      </c>
      <c r="AE27" t="str">
        <f t="shared" si="71"/>
        <v>21,0353732052265</v>
      </c>
      <c r="AF27" t="str">
        <f t="shared" si="72"/>
        <v>1+0,0417420359891114i</v>
      </c>
      <c r="AG27">
        <f t="shared" si="73"/>
        <v>1.000870819620852</v>
      </c>
      <c r="AH27">
        <f t="shared" si="74"/>
        <v>4.1717817562280143E-2</v>
      </c>
      <c r="AI27" t="str">
        <f t="shared" si="50"/>
        <v>1+0,00231900199939508i</v>
      </c>
      <c r="AJ27">
        <f t="shared" si="75"/>
        <v>1.0000026888815214</v>
      </c>
      <c r="AK27">
        <f t="shared" si="76"/>
        <v>2.3189978423884881E-3</v>
      </c>
      <c r="AL27" t="str">
        <f t="shared" si="77"/>
        <v>1-0,000157788100305886i</v>
      </c>
      <c r="AM27">
        <f t="shared" si="78"/>
        <v>1.0000000124485422</v>
      </c>
      <c r="AN27">
        <f t="shared" si="79"/>
        <v>-1.5778809899639814E-4</v>
      </c>
      <c r="AO27" s="58" t="str">
        <f t="shared" si="80"/>
        <v>21,0006870302556-0,831149492869331i</v>
      </c>
      <c r="AP27">
        <f t="shared" si="81"/>
        <v>26.451467343441788</v>
      </c>
      <c r="AQ27" s="60">
        <f t="shared" si="82"/>
        <v>-2.2664266798764801</v>
      </c>
      <c r="AR27" t="str">
        <f t="shared" si="83"/>
        <v>-1,05811623246493</v>
      </c>
      <c r="AS27" t="str">
        <f t="shared" si="51"/>
        <v>1+0,00228560837060379i</v>
      </c>
      <c r="AT27">
        <f t="shared" si="84"/>
        <v>1.0000026119994008</v>
      </c>
      <c r="AU27">
        <f t="shared" si="85"/>
        <v>2.2856043906059375E-3</v>
      </c>
      <c r="AV27" t="str">
        <f t="shared" si="52"/>
        <v>1+0,00228560837060379i</v>
      </c>
      <c r="AW27">
        <f t="shared" si="86"/>
        <v>1.0000026119994008</v>
      </c>
      <c r="AX27">
        <f t="shared" si="87"/>
        <v>2.2856043906059375E-3</v>
      </c>
      <c r="AY27" t="str">
        <f t="shared" si="53"/>
        <v>1-11,1368796955452i</v>
      </c>
      <c r="AZ27">
        <f t="shared" si="88"/>
        <v>11.181685443306252</v>
      </c>
      <c r="BA27">
        <f t="shared" si="89"/>
        <v>-1.481244725813974</v>
      </c>
      <c r="BB27" s="58" t="str">
        <f t="shared" si="90"/>
        <v>-1,03117697785513+11,7864700515977i</v>
      </c>
      <c r="BC27">
        <f t="shared" si="91"/>
        <v>21.460790266176758</v>
      </c>
      <c r="BD27" s="60">
        <f t="shared" si="92"/>
        <v>94.999973299628152</v>
      </c>
      <c r="BE27" s="58" t="str">
        <f t="shared" si="93"/>
        <v>-0,805598482009474+162,004935534555i</v>
      </c>
      <c r="BF27" s="37">
        <f t="shared" si="94"/>
        <v>44.190672302399825</v>
      </c>
      <c r="BG27" s="60">
        <f t="shared" si="95"/>
        <v>90.284911150403005</v>
      </c>
      <c r="BH27" s="58" t="str">
        <f t="shared" si="96"/>
        <v>-11,8591063786354+248,381030967287i</v>
      </c>
      <c r="BI27" s="37">
        <f t="shared" si="97"/>
        <v>47.912257609618564</v>
      </c>
      <c r="BJ27" s="60">
        <f t="shared" si="98"/>
        <v>92.733546619751664</v>
      </c>
      <c r="BK27">
        <f t="shared" si="99"/>
        <v>44.190672302399825</v>
      </c>
      <c r="BL27" s="60">
        <f t="shared" si="100"/>
        <v>90.284911150403005</v>
      </c>
      <c r="BN27">
        <f t="shared" si="101"/>
        <v>0</v>
      </c>
      <c r="BO27">
        <f t="shared" si="102"/>
        <v>0</v>
      </c>
    </row>
    <row r="28" spans="1:67" x14ac:dyDescent="0.25">
      <c r="A28" t="s">
        <v>464</v>
      </c>
      <c r="B28" s="21">
        <v>0.75</v>
      </c>
      <c r="C28" s="70" t="s">
        <v>118</v>
      </c>
      <c r="E28" t="s">
        <v>703</v>
      </c>
      <c r="M28" s="66">
        <v>10</v>
      </c>
      <c r="N28" s="36">
        <f t="shared" si="54"/>
        <v>12.58925411794168</v>
      </c>
      <c r="O28" s="91" t="str">
        <f t="shared" si="55"/>
        <v>13,7404580152672</v>
      </c>
      <c r="P28" s="67" t="str">
        <f t="shared" si="56"/>
        <v>1+0,0854286658223774i</v>
      </c>
      <c r="Q28" s="67">
        <f t="shared" si="57"/>
        <v>1.003642394951604</v>
      </c>
      <c r="R28" s="67">
        <f t="shared" si="58"/>
        <v>8.5221750030141208E-2</v>
      </c>
      <c r="S28" s="67" t="str">
        <f t="shared" si="59"/>
        <v>1+0,00237301849506604i</v>
      </c>
      <c r="T28" s="67">
        <f t="shared" si="60"/>
        <v>1.0000028156044252</v>
      </c>
      <c r="U28" s="67">
        <f t="shared" si="61"/>
        <v>2.3730140407539021E-3</v>
      </c>
      <c r="V28" t="str">
        <f t="shared" si="62"/>
        <v>1-0,000494378853138758i</v>
      </c>
      <c r="W28" s="67">
        <f t="shared" si="63"/>
        <v>1.0000001222052177</v>
      </c>
      <c r="X28" s="67">
        <f t="shared" si="64"/>
        <v>-4.9437881286164449E-4</v>
      </c>
      <c r="Y28" t="str">
        <f t="shared" si="65"/>
        <v>0,999999989856684+0,000857829077690539i</v>
      </c>
      <c r="Z28" s="67">
        <f t="shared" si="66"/>
        <v>1.0000003577919834</v>
      </c>
      <c r="AA28" s="67">
        <f t="shared" si="67"/>
        <v>8.5782887597475469E-4</v>
      </c>
      <c r="AB28" s="92" t="str">
        <f t="shared" si="68"/>
        <v>13,6421235671199-1,15140203475063i</v>
      </c>
      <c r="AC28" s="37">
        <f t="shared" si="69"/>
        <v>22.728466636593989</v>
      </c>
      <c r="AD28" s="60">
        <f t="shared" si="70"/>
        <v>-4.8243587037809608</v>
      </c>
      <c r="AE28" t="str">
        <f t="shared" si="71"/>
        <v>21,0353732052265</v>
      </c>
      <c r="AF28" t="str">
        <f t="shared" si="72"/>
        <v>1+0,0427143329111888i</v>
      </c>
      <c r="AG28">
        <f t="shared" si="73"/>
        <v>1.000911841390663</v>
      </c>
      <c r="AH28">
        <f t="shared" si="74"/>
        <v>4.2688383675960569E-2</v>
      </c>
      <c r="AI28" t="str">
        <f t="shared" si="50"/>
        <v>1+0,00237301849506604i</v>
      </c>
      <c r="AJ28">
        <f t="shared" si="75"/>
        <v>1.0000028156044252</v>
      </c>
      <c r="AK28">
        <f t="shared" si="76"/>
        <v>2.3730140407539021E-3</v>
      </c>
      <c r="AL28" t="str">
        <f t="shared" si="77"/>
        <v>1-0,000161463457308306i</v>
      </c>
      <c r="AM28">
        <f t="shared" si="78"/>
        <v>1.000000013035224</v>
      </c>
      <c r="AN28">
        <f t="shared" si="79"/>
        <v>-1.6146345590516446E-4</v>
      </c>
      <c r="AO28" s="58" t="str">
        <f t="shared" si="80"/>
        <v>20,9990552983099-0,850439753249339i</v>
      </c>
      <c r="AP28">
        <f t="shared" si="81"/>
        <v>26.451112455978013</v>
      </c>
      <c r="AQ28" s="60">
        <f t="shared" si="82"/>
        <v>-2.3191517041761767</v>
      </c>
      <c r="AR28" t="str">
        <f t="shared" si="83"/>
        <v>-1,05811623246493</v>
      </c>
      <c r="AS28" t="str">
        <f t="shared" si="51"/>
        <v>1+0,00233884702873709i</v>
      </c>
      <c r="AT28">
        <f t="shared" si="84"/>
        <v>1.0000027350989715</v>
      </c>
      <c r="AU28">
        <f t="shared" si="85"/>
        <v>2.3388427640931866E-3</v>
      </c>
      <c r="AV28" t="str">
        <f t="shared" si="52"/>
        <v>1+0,00233884702873709i</v>
      </c>
      <c r="AW28">
        <f t="shared" si="86"/>
        <v>1.0000027350989715</v>
      </c>
      <c r="AX28">
        <f t="shared" si="87"/>
        <v>2.3388427640931866E-3</v>
      </c>
      <c r="AY28" t="str">
        <f t="shared" si="53"/>
        <v>1-10,8833733637938i</v>
      </c>
      <c r="AZ28">
        <f t="shared" si="88"/>
        <v>10.929218443042318</v>
      </c>
      <c r="BA28">
        <f t="shared" si="89"/>
        <v>-1.4791703246596797</v>
      </c>
      <c r="BB28" s="58" t="str">
        <f t="shared" si="90"/>
        <v>-1,03117672398095+11,5182857848237i</v>
      </c>
      <c r="BC28">
        <f t="shared" si="91"/>
        <v>21.262425907914547</v>
      </c>
      <c r="BD28" s="60">
        <f t="shared" si="92"/>
        <v>95.115777396677316</v>
      </c>
      <c r="BE28" s="58" t="str">
        <f t="shared" si="93"/>
        <v>-0,805262598600743+158,321176936145i</v>
      </c>
      <c r="BF28" s="37">
        <f t="shared" si="94"/>
        <v>43.990892544508561</v>
      </c>
      <c r="BG28" s="60">
        <f t="shared" si="95"/>
        <v>90.291418692896357</v>
      </c>
      <c r="BH28" s="58" t="str">
        <f t="shared" si="96"/>
        <v>-11,8581289285052+242,750073815949i</v>
      </c>
      <c r="BI28" s="37">
        <f t="shared" si="97"/>
        <v>47.713538363892582</v>
      </c>
      <c r="BJ28" s="60">
        <f t="shared" si="98"/>
        <v>92.796625692501138</v>
      </c>
      <c r="BK28">
        <f t="shared" si="99"/>
        <v>43.990892544508561</v>
      </c>
      <c r="BL28" s="60">
        <f t="shared" si="100"/>
        <v>90.291418692896357</v>
      </c>
      <c r="BN28">
        <f t="shared" si="101"/>
        <v>0</v>
      </c>
      <c r="BO28">
        <f t="shared" si="102"/>
        <v>0</v>
      </c>
    </row>
    <row r="29" spans="1:67" x14ac:dyDescent="0.25">
      <c r="A29" t="s">
        <v>336</v>
      </c>
      <c r="B29" s="21">
        <v>10</v>
      </c>
      <c r="C29" s="70" t="s">
        <v>118</v>
      </c>
      <c r="E29" t="s">
        <v>692</v>
      </c>
      <c r="M29" s="66">
        <v>11</v>
      </c>
      <c r="N29" s="36">
        <f t="shared" si="54"/>
        <v>12.882495516931346</v>
      </c>
      <c r="O29" s="91" t="str">
        <f t="shared" si="55"/>
        <v>13,7404580152672</v>
      </c>
      <c r="P29" s="67" t="str">
        <f t="shared" si="56"/>
        <v>1+0,0874185550759331i</v>
      </c>
      <c r="Q29" s="67">
        <f t="shared" si="57"/>
        <v>1.0038137296189786</v>
      </c>
      <c r="R29" s="67">
        <f t="shared" si="58"/>
        <v>8.7196886278763763E-2</v>
      </c>
      <c r="S29" s="67" t="str">
        <f t="shared" si="59"/>
        <v>1+0,0024282931965537i</v>
      </c>
      <c r="T29" s="67">
        <f t="shared" si="60"/>
        <v>1.000002948299578</v>
      </c>
      <c r="U29" s="67">
        <f t="shared" si="61"/>
        <v>2.4282884236730127E-3</v>
      </c>
      <c r="V29" t="str">
        <f t="shared" si="62"/>
        <v>1-0,000505894415948687i</v>
      </c>
      <c r="W29" s="67">
        <f t="shared" si="63"/>
        <v>1.0000001279645718</v>
      </c>
      <c r="X29" s="67">
        <f t="shared" si="64"/>
        <v>-5.0589437279098255E-4</v>
      </c>
      <c r="Y29" t="str">
        <f t="shared" si="65"/>
        <v>0,999999989378644+0,00087781048377539i</v>
      </c>
      <c r="Z29" s="67">
        <f t="shared" si="66"/>
        <v>1.0000003746541966</v>
      </c>
      <c r="AA29" s="67">
        <f t="shared" si="67"/>
        <v>8.7781026763303761E-4</v>
      </c>
      <c r="AB29" s="92" t="str">
        <f t="shared" si="68"/>
        <v>13,6375243544531-1,17781957809586i</v>
      </c>
      <c r="AC29" s="37">
        <f t="shared" si="69"/>
        <v>22.726985026185538</v>
      </c>
      <c r="AD29" s="60">
        <f t="shared" si="70"/>
        <v>-4.9361633283273898</v>
      </c>
      <c r="AE29" t="str">
        <f t="shared" si="71"/>
        <v>21,0353732052265</v>
      </c>
      <c r="AF29" t="str">
        <f t="shared" si="72"/>
        <v>1+0,0437092775379666i</v>
      </c>
      <c r="AG29">
        <f t="shared" si="73"/>
        <v>1.0009547946550288</v>
      </c>
      <c r="AH29">
        <f t="shared" si="74"/>
        <v>4.3681473863732209E-2</v>
      </c>
      <c r="AI29" t="str">
        <f t="shared" si="50"/>
        <v>1+0,0024282931965537i</v>
      </c>
      <c r="AJ29">
        <f t="shared" si="75"/>
        <v>1.000002948299578</v>
      </c>
      <c r="AK29">
        <f t="shared" si="76"/>
        <v>2.4282884236730127E-3</v>
      </c>
      <c r="AL29" t="str">
        <f t="shared" si="77"/>
        <v>1-0,000165224424373013i</v>
      </c>
      <c r="AM29">
        <f t="shared" si="78"/>
        <v>1.000000013649555</v>
      </c>
      <c r="AN29">
        <f t="shared" si="79"/>
        <v>-1.6522442286951976E-4</v>
      </c>
      <c r="AO29" s="58" t="str">
        <f t="shared" si="80"/>
        <v>20,9973469518862-0,870174369269056i</v>
      </c>
      <c r="AP29">
        <f t="shared" si="81"/>
        <v>26.450740874456681</v>
      </c>
      <c r="AQ29" s="60">
        <f t="shared" si="82"/>
        <v>-2.3731000792888373</v>
      </c>
      <c r="AR29" t="str">
        <f t="shared" si="83"/>
        <v>-1,05811623246493</v>
      </c>
      <c r="AS29" t="str">
        <f t="shared" si="51"/>
        <v>1+0,00239332577452332i</v>
      </c>
      <c r="AT29">
        <f t="shared" si="84"/>
        <v>1.0000028640000302</v>
      </c>
      <c r="AU29">
        <f t="shared" si="85"/>
        <v>2.3933212048757543E-3</v>
      </c>
      <c r="AV29" t="str">
        <f t="shared" si="52"/>
        <v>1+0,00239332577452332i</v>
      </c>
      <c r="AW29">
        <f t="shared" si="86"/>
        <v>1.0000028640000302</v>
      </c>
      <c r="AX29">
        <f t="shared" si="87"/>
        <v>2.3933212048757543E-3</v>
      </c>
      <c r="AY29" t="str">
        <f t="shared" si="53"/>
        <v>1-10,6356375406583i</v>
      </c>
      <c r="AZ29">
        <f t="shared" si="88"/>
        <v>10.682545852757203</v>
      </c>
      <c r="BA29">
        <f t="shared" si="89"/>
        <v>-1.4770484229388574</v>
      </c>
      <c r="BB29" s="58" t="str">
        <f t="shared" si="90"/>
        <v>-1,03117645814219+11,2562086655793i</v>
      </c>
      <c r="BC29">
        <f t="shared" si="91"/>
        <v>21.064137974218056</v>
      </c>
      <c r="BD29" s="60">
        <f t="shared" si="92"/>
        <v>95.234232025090733</v>
      </c>
      <c r="BE29" s="58" t="str">
        <f t="shared" si="93"/>
        <v>-0,804911120201233+154,721359636515i</v>
      </c>
      <c r="BF29" s="37">
        <f t="shared" si="94"/>
        <v>43.791123000403587</v>
      </c>
      <c r="BG29" s="60">
        <f t="shared" si="95"/>
        <v>90.298068696763337</v>
      </c>
      <c r="BH29" s="58" t="str">
        <f t="shared" si="96"/>
        <v>-11,8571055842974+237,247822038066i</v>
      </c>
      <c r="BI29" s="37">
        <f t="shared" si="97"/>
        <v>47.514878848674755</v>
      </c>
      <c r="BJ29" s="60">
        <f t="shared" si="98"/>
        <v>92.861131945801901</v>
      </c>
      <c r="BK29">
        <f t="shared" si="99"/>
        <v>43.791123000403587</v>
      </c>
      <c r="BL29" s="60">
        <f t="shared" si="100"/>
        <v>90.298068696763337</v>
      </c>
      <c r="BN29">
        <f t="shared" si="101"/>
        <v>0</v>
      </c>
      <c r="BO29">
        <f t="shared" si="102"/>
        <v>0</v>
      </c>
    </row>
    <row r="30" spans="1:67" x14ac:dyDescent="0.25">
      <c r="C30" s="70"/>
      <c r="M30" s="66">
        <v>12</v>
      </c>
      <c r="N30" s="36">
        <f t="shared" si="54"/>
        <v>13.182567385564075</v>
      </c>
      <c r="O30" s="91" t="str">
        <f t="shared" si="55"/>
        <v>13,7404580152672</v>
      </c>
      <c r="P30" s="67" t="str">
        <f t="shared" si="56"/>
        <v>1+0,0894547948045115i</v>
      </c>
      <c r="Q30" s="67">
        <f t="shared" si="57"/>
        <v>1.003993107702198</v>
      </c>
      <c r="R30" s="67">
        <f t="shared" si="58"/>
        <v>8.9217323400299822E-2</v>
      </c>
      <c r="S30" s="67" t="str">
        <f t="shared" si="59"/>
        <v>1+0,00248485541123643i</v>
      </c>
      <c r="T30" s="67">
        <f t="shared" si="60"/>
        <v>1.0000030872484418</v>
      </c>
      <c r="U30" s="67">
        <f t="shared" si="61"/>
        <v>2.4848502970034846E-3</v>
      </c>
      <c r="V30" t="str">
        <f t="shared" si="62"/>
        <v>1-0,000517678210674256i</v>
      </c>
      <c r="W30" s="67">
        <f t="shared" si="63"/>
        <v>1.0000001339953559</v>
      </c>
      <c r="X30" s="67">
        <f t="shared" si="64"/>
        <v>-5.176781644299429E-4</v>
      </c>
      <c r="Y30" t="str">
        <f t="shared" si="65"/>
        <v>0,999999988878075+0,000898257316597936i</v>
      </c>
      <c r="Z30" s="67">
        <f t="shared" si="66"/>
        <v>1.0000003923111014</v>
      </c>
      <c r="AA30" s="67">
        <f t="shared" si="67"/>
        <v>8.9825708499723762E-4</v>
      </c>
      <c r="AB30" s="92" t="str">
        <f t="shared" si="68"/>
        <v>13,6327117515805-1,20482401128089i</v>
      </c>
      <c r="AC30" s="37">
        <f t="shared" si="69"/>
        <v>22.725434131961077</v>
      </c>
      <c r="AD30" s="60">
        <f t="shared" si="70"/>
        <v>-5.050531769406768</v>
      </c>
      <c r="AE30" t="str">
        <f t="shared" si="71"/>
        <v>21,0353732052265</v>
      </c>
      <c r="AF30" t="str">
        <f t="shared" si="72"/>
        <v>1+0,0447273974022558i</v>
      </c>
      <c r="AG30">
        <f t="shared" si="73"/>
        <v>1.0009997702688944</v>
      </c>
      <c r="AH30">
        <f t="shared" si="74"/>
        <v>4.4697606835387454E-2</v>
      </c>
      <c r="AI30" t="str">
        <f t="shared" si="50"/>
        <v>1+0,00248485541123643i</v>
      </c>
      <c r="AJ30">
        <f t="shared" si="75"/>
        <v>1.0000030872484418</v>
      </c>
      <c r="AK30">
        <f t="shared" si="76"/>
        <v>2.4848502970034846E-3</v>
      </c>
      <c r="AL30" t="str">
        <f t="shared" si="77"/>
        <v>1-0,000169072995614525i</v>
      </c>
      <c r="AM30">
        <f t="shared" si="78"/>
        <v>1.0000000142928389</v>
      </c>
      <c r="AN30">
        <f t="shared" si="79"/>
        <v>-1.6907299400350297E-4</v>
      </c>
      <c r="AO30" s="58" t="str">
        <f t="shared" si="80"/>
        <v>20,9955584078325-0,89036333721469i</v>
      </c>
      <c r="AP30">
        <f t="shared" si="81"/>
        <v>26.450351815122314</v>
      </c>
      <c r="AQ30" s="60">
        <f t="shared" si="82"/>
        <v>-2.4282999602487148</v>
      </c>
      <c r="AR30" t="str">
        <f t="shared" si="83"/>
        <v>-1,05811623246493</v>
      </c>
      <c r="AS30" t="str">
        <f t="shared" si="51"/>
        <v>1+0,00244907349331463i</v>
      </c>
      <c r="AT30">
        <f t="shared" si="84"/>
        <v>1.0000029989759909</v>
      </c>
      <c r="AU30">
        <f t="shared" si="85"/>
        <v>2.4490685968498382E-3</v>
      </c>
      <c r="AV30" t="str">
        <f t="shared" si="52"/>
        <v>1+0,00244907349331463i</v>
      </c>
      <c r="AW30">
        <f t="shared" si="86"/>
        <v>1.0000029989759909</v>
      </c>
      <c r="AX30">
        <f t="shared" si="87"/>
        <v>2.4490685968498382E-3</v>
      </c>
      <c r="AY30" t="str">
        <f t="shared" si="53"/>
        <v>1-10,3935408733262i</v>
      </c>
      <c r="AZ30">
        <f t="shared" si="88"/>
        <v>10.441536854577604</v>
      </c>
      <c r="BA30">
        <f t="shared" si="89"/>
        <v>-1.4748779720636549</v>
      </c>
      <c r="BB30" s="58" t="str">
        <f t="shared" si="90"/>
        <v>-1,03117617977497+11,000099737103i</v>
      </c>
      <c r="BC30">
        <f t="shared" si="91"/>
        <v>20.865930003679996</v>
      </c>
      <c r="BD30" s="60">
        <f t="shared" si="92"/>
        <v>95.355395609601302</v>
      </c>
      <c r="BE30" s="58" t="str">
        <f t="shared" si="93"/>
        <v>-0,804543334221819+151,203574775815i</v>
      </c>
      <c r="BF30" s="37">
        <f t="shared" si="94"/>
        <v>43.591364135641051</v>
      </c>
      <c r="BG30" s="60">
        <f t="shared" si="95"/>
        <v>90.304863840194528</v>
      </c>
      <c r="BH30" s="58" t="str">
        <f t="shared" si="96"/>
        <v>-11,8560341996095+231,87135798701i</v>
      </c>
      <c r="BI30" s="37">
        <f t="shared" si="97"/>
        <v>47.316281818802324</v>
      </c>
      <c r="BJ30" s="60">
        <f t="shared" si="98"/>
        <v>92.927095649352594</v>
      </c>
      <c r="BK30">
        <f t="shared" si="99"/>
        <v>43.591364135641051</v>
      </c>
      <c r="BL30" s="60">
        <f t="shared" si="100"/>
        <v>90.304863840194528</v>
      </c>
      <c r="BN30">
        <f t="shared" si="101"/>
        <v>0</v>
      </c>
      <c r="BO30">
        <f t="shared" si="102"/>
        <v>0</v>
      </c>
    </row>
    <row r="31" spans="1:67" x14ac:dyDescent="0.25">
      <c r="A31" t="s">
        <v>469</v>
      </c>
      <c r="B31">
        <f>(Rcs*ACS/(2*Lm*fsw))*(1-(B14/VOUT))*(B14/VOUT)</f>
        <v>2.9111111111111108E-3</v>
      </c>
      <c r="E31" t="s">
        <v>474</v>
      </c>
      <c r="M31" s="66">
        <v>13</v>
      </c>
      <c r="N31" s="36">
        <f t="shared" si="54"/>
        <v>13.489628825916535</v>
      </c>
      <c r="O31" s="91" t="str">
        <f t="shared" si="55"/>
        <v>13,7404580152672</v>
      </c>
      <c r="P31" s="67" t="str">
        <f t="shared" si="56"/>
        <v>1+0,0915384646493694i</v>
      </c>
      <c r="Q31" s="67">
        <f t="shared" si="57"/>
        <v>1.0041809052707404</v>
      </c>
      <c r="R31" s="67">
        <f t="shared" si="58"/>
        <v>9.1284066638615463E-2</v>
      </c>
      <c r="S31" s="67" t="str">
        <f t="shared" si="59"/>
        <v>1+0,00254273512914915i</v>
      </c>
      <c r="T31" s="67">
        <f t="shared" si="60"/>
        <v>1.0000032327457431</v>
      </c>
      <c r="U31" s="67">
        <f t="shared" si="61"/>
        <v>2.5427296491507744E-3</v>
      </c>
      <c r="V31" t="str">
        <f t="shared" si="62"/>
        <v>1-0,000529736485239406i</v>
      </c>
      <c r="W31" s="67">
        <f t="shared" si="63"/>
        <v>1.000000140310362</v>
      </c>
      <c r="X31" s="67">
        <f t="shared" si="64"/>
        <v>-5.2973643568773215E-4</v>
      </c>
      <c r="Y31" t="str">
        <f t="shared" si="65"/>
        <v>0,999999988353914+0,000919180417339582i</v>
      </c>
      <c r="Z31" s="67">
        <f t="shared" si="66"/>
        <v>1.0000004108001495</v>
      </c>
      <c r="AA31" s="67">
        <f t="shared" si="67"/>
        <v>9.1918016917496876E-4</v>
      </c>
      <c r="AB31" s="92" t="str">
        <f t="shared" si="68"/>
        <v>13,6276760223298-1,23242700608727i</v>
      </c>
      <c r="AC31" s="37">
        <f t="shared" si="69"/>
        <v>22.723810740572805</v>
      </c>
      <c r="AD31" s="60">
        <f t="shared" si="70"/>
        <v>-5.1675208841695648</v>
      </c>
      <c r="AE31" t="str">
        <f t="shared" si="71"/>
        <v>21,0353732052265</v>
      </c>
      <c r="AF31" t="str">
        <f t="shared" si="72"/>
        <v>1+0,0457692323246848i</v>
      </c>
      <c r="AG31">
        <f t="shared" si="73"/>
        <v>1.0010468633523562</v>
      </c>
      <c r="AH31">
        <f t="shared" si="74"/>
        <v>4.5737312959827775E-2</v>
      </c>
      <c r="AI31" t="str">
        <f t="shared" si="50"/>
        <v>1+0,00254273512914915i</v>
      </c>
      <c r="AJ31">
        <f t="shared" si="75"/>
        <v>1.0000032327457431</v>
      </c>
      <c r="AK31">
        <f t="shared" si="76"/>
        <v>2.5427296491507744E-3</v>
      </c>
      <c r="AL31" t="str">
        <f t="shared" si="77"/>
        <v>1-0,000173011211596258i</v>
      </c>
      <c r="AM31">
        <f t="shared" si="78"/>
        <v>1.0000000149664394</v>
      </c>
      <c r="AN31">
        <f t="shared" si="79"/>
        <v>-1.7301120987001678E-4</v>
      </c>
      <c r="AO31" s="58" t="str">
        <f t="shared" si="80"/>
        <v>20,9936859167769-0,911016861077351i</v>
      </c>
      <c r="AP31">
        <f t="shared" si="81"/>
        <v>26.44994445757191</v>
      </c>
      <c r="AQ31" s="60">
        <f t="shared" si="82"/>
        <v>-2.4847801336620243</v>
      </c>
      <c r="AR31" t="str">
        <f t="shared" si="83"/>
        <v>-1,05811623246493</v>
      </c>
      <c r="AS31" t="str">
        <f t="shared" si="51"/>
        <v>1+0,0025061197432894i</v>
      </c>
      <c r="AT31">
        <f t="shared" si="84"/>
        <v>1.0000031403131531</v>
      </c>
      <c r="AU31">
        <f t="shared" si="85"/>
        <v>2.5061144966337379E-3</v>
      </c>
      <c r="AV31" t="str">
        <f t="shared" si="52"/>
        <v>1+0,0025061197432894i</v>
      </c>
      <c r="AW31">
        <f t="shared" si="86"/>
        <v>1.0000031403131531</v>
      </c>
      <c r="AX31">
        <f t="shared" si="87"/>
        <v>2.5061144966337379E-3</v>
      </c>
      <c r="AY31" t="str">
        <f t="shared" si="53"/>
        <v>1-10,15695499894i</v>
      </c>
      <c r="AZ31">
        <f t="shared" si="88"/>
        <v>10.206063631512997</v>
      </c>
      <c r="BA31">
        <f t="shared" si="89"/>
        <v>-1.472657903074823</v>
      </c>
      <c r="BB31" s="58" t="str">
        <f t="shared" si="90"/>
        <v>-1,03117588828888+10,7498232070466i</v>
      </c>
      <c r="BC31">
        <f t="shared" si="91"/>
        <v>20.667805695649552</v>
      </c>
      <c r="BD31" s="60">
        <f t="shared" si="92"/>
        <v>95.479327703593157</v>
      </c>
      <c r="BE31" s="58" t="str">
        <f t="shared" si="93"/>
        <v>-0,804158496611105+147,765956975707i</v>
      </c>
      <c r="BF31" s="37">
        <f t="shared" si="94"/>
        <v>43.391616436222378</v>
      </c>
      <c r="BG31" s="60">
        <f t="shared" si="95"/>
        <v>90.311806819423595</v>
      </c>
      <c r="BH31" s="58" t="str">
        <f t="shared" si="96"/>
        <v>-11,8549125284701+226,617830690583i</v>
      </c>
      <c r="BI31" s="37">
        <f t="shared" si="97"/>
        <v>47.117750153221451</v>
      </c>
      <c r="BJ31" s="60">
        <f t="shared" si="98"/>
        <v>92.994547569931129</v>
      </c>
      <c r="BK31">
        <f t="shared" si="99"/>
        <v>43.391616436222378</v>
      </c>
      <c r="BL31" s="60">
        <f t="shared" si="100"/>
        <v>90.311806819423595</v>
      </c>
      <c r="BN31">
        <f t="shared" si="101"/>
        <v>0</v>
      </c>
      <c r="BO31">
        <f t="shared" si="102"/>
        <v>0</v>
      </c>
    </row>
    <row r="32" spans="1:67" x14ac:dyDescent="0.25">
      <c r="A32" t="s">
        <v>470</v>
      </c>
      <c r="B32">
        <f>1/((0.5-(1-(Vin_vari/VOUT)))*(Rcs*ACS/(Lm*fsw))+(Vslo*ACS/VOUT))</f>
        <v>1.490238934975908</v>
      </c>
      <c r="E32" t="s">
        <v>474</v>
      </c>
      <c r="M32" s="66">
        <v>14</v>
      </c>
      <c r="N32" s="36">
        <f t="shared" si="54"/>
        <v>13.803842646028857</v>
      </c>
      <c r="O32" s="91" t="str">
        <f t="shared" si="55"/>
        <v>13,7404580152672</v>
      </c>
      <c r="P32" s="67" t="str">
        <f t="shared" si="56"/>
        <v>1+0,0936706693998393i</v>
      </c>
      <c r="Q32" s="67">
        <f t="shared" si="57"/>
        <v>1.004377515830484</v>
      </c>
      <c r="R32" s="67">
        <f t="shared" si="58"/>
        <v>9.3398141145715499E-2</v>
      </c>
      <c r="S32" s="67" t="str">
        <f t="shared" si="59"/>
        <v>1+0,00260196303888443i</v>
      </c>
      <c r="T32" s="67">
        <f t="shared" si="60"/>
        <v>1.0000033851000985</v>
      </c>
      <c r="U32" s="67">
        <f t="shared" si="61"/>
        <v>2.6019571669614514E-3</v>
      </c>
      <c r="V32" t="str">
        <f t="shared" si="62"/>
        <v>1-0,000542075633100922i</v>
      </c>
      <c r="W32" s="67">
        <f t="shared" si="63"/>
        <v>1.0000001469229851</v>
      </c>
      <c r="X32" s="67">
        <f t="shared" si="64"/>
        <v>-5.4207558000534729E-4</v>
      </c>
      <c r="Y32" t="str">
        <f t="shared" si="65"/>
        <v>0,999999987805051+0,000940590879705294i</v>
      </c>
      <c r="Z32" s="67">
        <f t="shared" si="66"/>
        <v>1.0000004301605601</v>
      </c>
      <c r="AA32" s="67">
        <f t="shared" si="67"/>
        <v>9.4059061379212622E-4</v>
      </c>
      <c r="AB32" s="92" t="str">
        <f t="shared" si="68"/>
        <v>13,6224070020289-1,26064036759947i</v>
      </c>
      <c r="AC32" s="37">
        <f t="shared" si="69"/>
        <v>22.722111492177323</v>
      </c>
      <c r="AD32" s="60">
        <f t="shared" si="70"/>
        <v>-5.2871886532072594</v>
      </c>
      <c r="AE32" t="str">
        <f t="shared" si="71"/>
        <v>21,0353732052265</v>
      </c>
      <c r="AF32" t="str">
        <f t="shared" si="72"/>
        <v>1+0,0468353346999197i</v>
      </c>
      <c r="AG32">
        <f t="shared" si="73"/>
        <v>1.0010961734900665</v>
      </c>
      <c r="AH32">
        <f t="shared" si="74"/>
        <v>4.6801134506599895E-2</v>
      </c>
      <c r="AI32" t="str">
        <f t="shared" si="50"/>
        <v>1+0,00260196303888443i</v>
      </c>
      <c r="AJ32">
        <f t="shared" si="75"/>
        <v>1.0000033851000985</v>
      </c>
      <c r="AK32">
        <f t="shared" si="76"/>
        <v>2.6019571669614514E-3</v>
      </c>
      <c r="AL32" t="str">
        <f t="shared" si="77"/>
        <v>1-0,000177041160412454i</v>
      </c>
      <c r="AM32">
        <f t="shared" si="78"/>
        <v>1.0000000156717861</v>
      </c>
      <c r="AN32">
        <f t="shared" si="79"/>
        <v>-1.7704115856275322E-4</v>
      </c>
      <c r="AO32" s="58" t="str">
        <f t="shared" si="80"/>
        <v>20,9917255555478-0,93214535561576i</v>
      </c>
      <c r="AP32">
        <f t="shared" si="81"/>
        <v>26.449517943055678</v>
      </c>
      <c r="AQ32" s="60">
        <f t="shared" si="82"/>
        <v>-2.5425700306972954</v>
      </c>
      <c r="AR32" t="str">
        <f t="shared" si="83"/>
        <v>-1,05811623246493</v>
      </c>
      <c r="AS32" t="str">
        <f t="shared" si="51"/>
        <v>1+0,00256449477112449i</v>
      </c>
      <c r="AT32">
        <f t="shared" si="84"/>
        <v>1.000003288311309</v>
      </c>
      <c r="AU32">
        <f t="shared" si="85"/>
        <v>2.5644891492326584E-3</v>
      </c>
      <c r="AV32" t="str">
        <f t="shared" si="52"/>
        <v>1+0,00256449477112449i</v>
      </c>
      <c r="AW32">
        <f t="shared" si="86"/>
        <v>1.000003288311309</v>
      </c>
      <c r="AX32">
        <f t="shared" si="87"/>
        <v>2.5644891492326584E-3</v>
      </c>
      <c r="AY32" t="str">
        <f t="shared" si="53"/>
        <v>1-9,92575447653732i</v>
      </c>
      <c r="AZ32">
        <f t="shared" si="88"/>
        <v>9.976001299543853</v>
      </c>
      <c r="BA32">
        <f t="shared" si="89"/>
        <v>-1.4703871264470714</v>
      </c>
      <c r="BB32" s="58" t="str">
        <f t="shared" si="90"/>
        <v>-1,03117558306565+10,5052463754765i</v>
      </c>
      <c r="BC32">
        <f t="shared" si="91"/>
        <v>20.46976891724097</v>
      </c>
      <c r="BD32" s="60">
        <f t="shared" si="92"/>
        <v>95.606088999355791</v>
      </c>
      <c r="BE32" s="58" t="str">
        <f t="shared" si="93"/>
        <v>-0,803755830571049+144,406683349425i</v>
      </c>
      <c r="BF32" s="37">
        <f t="shared" si="94"/>
        <v>43.191880409418282</v>
      </c>
      <c r="BG32" s="60">
        <f t="shared" si="95"/>
        <v>90.318900346148524</v>
      </c>
      <c r="BH32" s="58" t="str">
        <f t="shared" si="96"/>
        <v>-11,8537382207964+221,484454337995i</v>
      </c>
      <c r="BI32" s="37">
        <f t="shared" si="97"/>
        <v>46.919286860296658</v>
      </c>
      <c r="BJ32" s="60">
        <f t="shared" si="98"/>
        <v>93.063518968658485</v>
      </c>
      <c r="BK32">
        <f t="shared" si="99"/>
        <v>43.191880409418282</v>
      </c>
      <c r="BL32" s="60">
        <f t="shared" si="100"/>
        <v>90.318900346148524</v>
      </c>
      <c r="BN32">
        <f t="shared" si="101"/>
        <v>0</v>
      </c>
      <c r="BO32">
        <f t="shared" si="102"/>
        <v>0</v>
      </c>
    </row>
    <row r="33" spans="1:67" x14ac:dyDescent="0.25">
      <c r="A33" t="s">
        <v>471</v>
      </c>
      <c r="B33">
        <f>2+((VOUT*((Vin_vari/VOUT)^2))/(IOUT_vari*Rcs*ACS))*((1/km)+(kex/(Vin_vari/VOUT)))</f>
        <v>18.498320610687021</v>
      </c>
      <c r="E33" t="s">
        <v>474</v>
      </c>
      <c r="M33" s="66">
        <v>15</v>
      </c>
      <c r="N33" s="36">
        <f t="shared" si="54"/>
        <v>14.125375446227544</v>
      </c>
      <c r="O33" s="91" t="str">
        <f t="shared" si="55"/>
        <v>13,7404580152672</v>
      </c>
      <c r="P33" s="67" t="str">
        <f t="shared" si="56"/>
        <v>1+0,0958525395791028i</v>
      </c>
      <c r="Q33" s="67">
        <f t="shared" si="57"/>
        <v>1.0045833511181457</v>
      </c>
      <c r="R33" s="67">
        <f t="shared" si="58"/>
        <v>9.5560592202499933E-2</v>
      </c>
      <c r="S33" s="67" t="str">
        <f t="shared" si="59"/>
        <v>1+0,00266257054386397i</v>
      </c>
      <c r="T33" s="67">
        <f t="shared" si="60"/>
        <v>1.0000035446346682</v>
      </c>
      <c r="U33" s="67">
        <f t="shared" si="61"/>
        <v>2.6625642519863438E-3</v>
      </c>
      <c r="V33" t="str">
        <f t="shared" si="62"/>
        <v>1-0,000554702196638326i</v>
      </c>
      <c r="W33" s="67">
        <f t="shared" si="63"/>
        <v>1.0000001538472516</v>
      </c>
      <c r="X33" s="67">
        <f t="shared" si="64"/>
        <v>-5.5470213974539312E-4</v>
      </c>
      <c r="Y33" t="str">
        <f t="shared" si="65"/>
        <v>0,999999987230321+0,000962500055805617i</v>
      </c>
      <c r="Z33" s="67">
        <f t="shared" si="66"/>
        <v>1.0000004504333984</v>
      </c>
      <c r="AA33" s="67">
        <f t="shared" si="67"/>
        <v>9.6249977087453078E-4</v>
      </c>
      <c r="AB33" s="92" t="str">
        <f t="shared" si="68"/>
        <v>13,6168940801544-1,28947602792246i</v>
      </c>
      <c r="AC33" s="37">
        <f t="shared" si="69"/>
        <v>22.720332873999006</v>
      </c>
      <c r="AD33" s="60">
        <f t="shared" si="70"/>
        <v>-5.4095941928004665</v>
      </c>
      <c r="AE33" t="str">
        <f t="shared" si="71"/>
        <v>21,0353732052265</v>
      </c>
      <c r="AF33" t="str">
        <f t="shared" si="72"/>
        <v>1+0,0479262697895514i</v>
      </c>
      <c r="AG33">
        <f t="shared" si="73"/>
        <v>1.0011478049398803</v>
      </c>
      <c r="AH33">
        <f t="shared" si="74"/>
        <v>4.7889625890937135E-2</v>
      </c>
      <c r="AI33" t="str">
        <f t="shared" si="50"/>
        <v>1+0,00266257054386397i</v>
      </c>
      <c r="AJ33">
        <f t="shared" si="75"/>
        <v>1.0000035446346682</v>
      </c>
      <c r="AK33">
        <f t="shared" si="76"/>
        <v>2.6625642519863438E-3</v>
      </c>
      <c r="AL33" t="str">
        <f t="shared" si="77"/>
        <v>1-0,000181164978795317i</v>
      </c>
      <c r="AM33">
        <f t="shared" si="78"/>
        <v>1.0000000164103746</v>
      </c>
      <c r="AN33">
        <f t="shared" si="79"/>
        <v>-1.8116497681332691E-4</v>
      </c>
      <c r="AO33" s="58" t="str">
        <f t="shared" si="80"/>
        <v>20,9896732192598-0,953759449366024i</v>
      </c>
      <c r="AP33">
        <f t="shared" si="81"/>
        <v>26.449071372699812</v>
      </c>
      <c r="AQ33" s="60">
        <f t="shared" si="82"/>
        <v>-2.6016997402569024</v>
      </c>
      <c r="AR33" t="str">
        <f t="shared" si="83"/>
        <v>-1,05811623246493</v>
      </c>
      <c r="AS33" t="str">
        <f t="shared" si="51"/>
        <v>1+0,00262422952803233i</v>
      </c>
      <c r="AT33">
        <f t="shared" si="84"/>
        <v>1.0000034432843798</v>
      </c>
      <c r="AU33">
        <f t="shared" si="85"/>
        <v>2.6242235040678211E-3</v>
      </c>
      <c r="AV33" t="str">
        <f t="shared" si="52"/>
        <v>1+0,00262422952803233i</v>
      </c>
      <c r="AW33">
        <f t="shared" si="86"/>
        <v>1.0000034432843798</v>
      </c>
      <c r="AX33">
        <f t="shared" si="87"/>
        <v>2.6242235040678211E-3</v>
      </c>
      <c r="AY33" t="str">
        <f t="shared" si="53"/>
        <v>1-9,69981672054103i</v>
      </c>
      <c r="AZ33">
        <f t="shared" si="88"/>
        <v>9.7512278412560605</v>
      </c>
      <c r="BA33">
        <f t="shared" si="89"/>
        <v>-1.468064531908716</v>
      </c>
      <c r="BB33" s="58" t="str">
        <f t="shared" si="90"/>
        <v>-1,03117526345788+10,2662395645141i</v>
      </c>
      <c r="BC33">
        <f t="shared" si="91"/>
        <v>20.271823710619085</v>
      </c>
      <c r="BD33" s="60">
        <f t="shared" si="92"/>
        <v>95.735741337499732</v>
      </c>
      <c r="BE33" s="58" t="str">
        <f t="shared" si="93"/>
        <v>-0,803334525231213+141,123972534295i</v>
      </c>
      <c r="BF33" s="37">
        <f t="shared" si="94"/>
        <v>42.992156584618122</v>
      </c>
      <c r="BG33" s="60">
        <f t="shared" si="95"/>
        <v>90.326147144699263</v>
      </c>
      <c r="BH33" s="58" t="str">
        <f t="shared" si="96"/>
        <v>-11,8525088176544+216,468506801262i</v>
      </c>
      <c r="BI33" s="37">
        <f t="shared" si="97"/>
        <v>46.720895083318879</v>
      </c>
      <c r="BJ33" s="60">
        <f t="shared" si="98"/>
        <v>93.134041597242842</v>
      </c>
      <c r="BK33">
        <f t="shared" si="99"/>
        <v>42.992156584618122</v>
      </c>
      <c r="BL33" s="60">
        <f t="shared" si="100"/>
        <v>90.326147144699263</v>
      </c>
      <c r="BN33">
        <f t="shared" si="101"/>
        <v>0</v>
      </c>
      <c r="BO33">
        <f t="shared" si="102"/>
        <v>0</v>
      </c>
    </row>
    <row r="34" spans="1:67" x14ac:dyDescent="0.25">
      <c r="M34" s="66">
        <v>16</v>
      </c>
      <c r="N34" s="36">
        <f t="shared" si="54"/>
        <v>14.454397707459275</v>
      </c>
      <c r="O34" s="91" t="str">
        <f t="shared" si="55"/>
        <v>13,7404580152672</v>
      </c>
      <c r="P34" s="67" t="str">
        <f t="shared" si="56"/>
        <v>1+0,0980852320436095i</v>
      </c>
      <c r="Q34" s="67">
        <f t="shared" si="57"/>
        <v>1.0047988419305869</v>
      </c>
      <c r="R34" s="67">
        <f t="shared" si="58"/>
        <v>9.777248542822542E-2</v>
      </c>
      <c r="S34" s="67" t="str">
        <f t="shared" si="59"/>
        <v>1+0,00272458977898915i</v>
      </c>
      <c r="T34" s="67">
        <f t="shared" si="60"/>
        <v>1.0000037116878435</v>
      </c>
      <c r="U34" s="67">
        <f t="shared" si="61"/>
        <v>2.7245830371221591E-3</v>
      </c>
      <c r="V34" t="str">
        <f t="shared" si="62"/>
        <v>1-0,00056762287062274i</v>
      </c>
      <c r="W34" s="67">
        <f t="shared" si="63"/>
        <v>1.0000001610978486</v>
      </c>
      <c r="X34" s="67">
        <f t="shared" si="64"/>
        <v>-5.6762280966086466E-4</v>
      </c>
      <c r="Y34" t="str">
        <f t="shared" si="65"/>
        <v>0,999999986628505+0,000984919562175722i</v>
      </c>
      <c r="Z34" s="67">
        <f t="shared" si="66"/>
        <v>1.0000004716616659</v>
      </c>
      <c r="AA34" s="67">
        <f t="shared" si="67"/>
        <v>9.8491925686657001E-4</v>
      </c>
      <c r="AB34" s="92" t="str">
        <f t="shared" si="68"/>
        <v>13,6111261824254-1,3189460391435i</v>
      </c>
      <c r="AC34" s="37">
        <f t="shared" si="69"/>
        <v>22.718471213634366</v>
      </c>
      <c r="AD34" s="60">
        <f t="shared" si="70"/>
        <v>-5.5347977665101888</v>
      </c>
      <c r="AE34" t="str">
        <f t="shared" si="71"/>
        <v>21,0353732052265</v>
      </c>
      <c r="AF34" t="str">
        <f t="shared" si="72"/>
        <v>1+0,0490426160218048i</v>
      </c>
      <c r="AG34">
        <f t="shared" si="73"/>
        <v>1.0012018668511671</v>
      </c>
      <c r="AH34">
        <f t="shared" si="74"/>
        <v>4.9003353922239146E-2</v>
      </c>
      <c r="AI34" t="str">
        <f t="shared" si="50"/>
        <v>1+0,00272458977898915i</v>
      </c>
      <c r="AJ34">
        <f t="shared" si="75"/>
        <v>1.0000037116878435</v>
      </c>
      <c r="AK34">
        <f t="shared" si="76"/>
        <v>2.7245830371221591E-3</v>
      </c>
      <c r="AL34" t="str">
        <f t="shared" si="77"/>
        <v>1-0,000185384853247939i</v>
      </c>
      <c r="AM34">
        <f t="shared" si="78"/>
        <v>1.0000000171837717</v>
      </c>
      <c r="AN34">
        <f t="shared" si="79"/>
        <v>-1.8538485112419835E-4</v>
      </c>
      <c r="AO34" s="58" t="str">
        <f t="shared" si="80"/>
        <v>20,9875246130561-0,975869987588771i</v>
      </c>
      <c r="AP34">
        <f t="shared" si="81"/>
        <v>26.448603805649626</v>
      </c>
      <c r="AQ34" s="60">
        <f t="shared" si="82"/>
        <v>-2.6622000223251918</v>
      </c>
      <c r="AR34" t="str">
        <f t="shared" si="83"/>
        <v>-1,05811623246493</v>
      </c>
      <c r="AS34" t="str">
        <f t="shared" si="51"/>
        <v>1+0,00268535568617171i</v>
      </c>
      <c r="AT34">
        <f t="shared" si="84"/>
        <v>1.0000036055610806</v>
      </c>
      <c r="AU34">
        <f t="shared" si="85"/>
        <v>2.6853492313787014E-3</v>
      </c>
      <c r="AV34" t="str">
        <f t="shared" si="52"/>
        <v>1+0,00268535568617171i</v>
      </c>
      <c r="AW34">
        <f t="shared" si="86"/>
        <v>1.0000036055610806</v>
      </c>
      <c r="AX34">
        <f t="shared" si="87"/>
        <v>2.6853492313787014E-3</v>
      </c>
      <c r="AY34" t="str">
        <f t="shared" si="53"/>
        <v>1-9,47902193576222i</v>
      </c>
      <c r="AZ34">
        <f t="shared" si="88"/>
        <v>9.53162404098385</v>
      </c>
      <c r="BA34">
        <f t="shared" si="89"/>
        <v>-1.4656889882771422</v>
      </c>
      <c r="BB34" s="58" t="str">
        <f t="shared" si="90"/>
        <v>-1,03117492878767+10,0326760495796i</v>
      </c>
      <c r="BC34">
        <f t="shared" si="91"/>
        <v>20.073974300571212</v>
      </c>
      <c r="BD34" s="60">
        <f t="shared" si="92"/>
        <v>95.868347715443448</v>
      </c>
      <c r="BE34" s="58" t="str">
        <f t="shared" si="93"/>
        <v>-0,802893734279632+137,916083746214i</v>
      </c>
      <c r="BF34" s="37">
        <f t="shared" si="94"/>
        <v>42.792445514205603</v>
      </c>
      <c r="BG34" s="60">
        <f t="shared" si="95"/>
        <v>90.333549948933253</v>
      </c>
      <c r="BH34" s="58" t="str">
        <f t="shared" si="96"/>
        <v>-11,8512217463122+211,567328190328i</v>
      </c>
      <c r="BI34" s="37">
        <f t="shared" si="97"/>
        <v>46.522578106220827</v>
      </c>
      <c r="BJ34" s="60">
        <f t="shared" si="98"/>
        <v>93.206147693118254</v>
      </c>
      <c r="BK34">
        <f t="shared" si="99"/>
        <v>42.792445514205603</v>
      </c>
      <c r="BL34" s="60">
        <f t="shared" si="100"/>
        <v>90.333549948933253</v>
      </c>
      <c r="BN34">
        <f t="shared" si="101"/>
        <v>0</v>
      </c>
      <c r="BO34">
        <f t="shared" si="102"/>
        <v>0</v>
      </c>
    </row>
    <row r="35" spans="1:67" x14ac:dyDescent="0.25">
      <c r="A35" t="s">
        <v>367</v>
      </c>
      <c r="B35" s="23">
        <f>Gcomp*((B14/VOUT)*(VOUT/IOUT_vari))/(2*Rcs*ACS)</f>
        <v>13.740458015267176</v>
      </c>
      <c r="C35" t="s">
        <v>118</v>
      </c>
      <c r="E35" t="s">
        <v>473</v>
      </c>
      <c r="M35" s="66">
        <v>17</v>
      </c>
      <c r="N35" s="36">
        <f t="shared" si="54"/>
        <v>14.791083881682074</v>
      </c>
      <c r="O35" s="91" t="str">
        <f t="shared" si="55"/>
        <v>13,7404580152672</v>
      </c>
      <c r="P35" s="67" t="str">
        <f t="shared" si="56"/>
        <v>1+0,100369930596457i</v>
      </c>
      <c r="Q35" s="67">
        <f t="shared" si="57"/>
        <v>1.0050244389903846</v>
      </c>
      <c r="R35" s="67">
        <f t="shared" si="58"/>
        <v>0.10003490697734206</v>
      </c>
      <c r="S35" s="67" t="str">
        <f t="shared" si="59"/>
        <v>1+0,00278805362767937i</v>
      </c>
      <c r="T35" s="67">
        <f t="shared" si="60"/>
        <v>1.0000038866139624</v>
      </c>
      <c r="U35" s="67">
        <f t="shared" si="61"/>
        <v>2.7880464036402521E-3</v>
      </c>
      <c r="V35" t="str">
        <f t="shared" si="62"/>
        <v>1-0,000580844505766535i</v>
      </c>
      <c r="W35" s="67">
        <f t="shared" si="63"/>
        <v>1.0000001686901556</v>
      </c>
      <c r="X35" s="67">
        <f t="shared" si="64"/>
        <v>-5.808444404447092E-4</v>
      </c>
      <c r="Y35" t="str">
        <f t="shared" si="65"/>
        <v>0,999999985998326+0,00100786128593464i</v>
      </c>
      <c r="Z35" s="67">
        <f t="shared" si="66"/>
        <v>1.0000004938903899</v>
      </c>
      <c r="AA35" s="67">
        <f t="shared" si="67"/>
        <v>1.0078609587899981E-3</v>
      </c>
      <c r="AB35" s="92" t="str">
        <f t="shared" si="68"/>
        <v>13,605091752339-1,34906256548415i</v>
      </c>
      <c r="AC35" s="37">
        <f t="shared" si="69"/>
        <v>22.716522672088765</v>
      </c>
      <c r="AD35" s="60">
        <f t="shared" si="70"/>
        <v>-5.6628607960361075</v>
      </c>
      <c r="AE35" t="str">
        <f t="shared" si="71"/>
        <v>21,0353732052265</v>
      </c>
      <c r="AF35" t="str">
        <f t="shared" si="72"/>
        <v>1+0,0501849652982287i</v>
      </c>
      <c r="AG35">
        <f t="shared" si="73"/>
        <v>1.0012584734932257</v>
      </c>
      <c r="AH35">
        <f t="shared" si="74"/>
        <v>5.0142898055911267E-2</v>
      </c>
      <c r="AI35" t="str">
        <f t="shared" si="50"/>
        <v>1+0,00278805362767937i</v>
      </c>
      <c r="AJ35">
        <f t="shared" si="75"/>
        <v>1.0000038866139624</v>
      </c>
      <c r="AK35">
        <f t="shared" si="76"/>
        <v>2.7880464036402521E-3</v>
      </c>
      <c r="AL35" t="str">
        <f t="shared" si="77"/>
        <v>1-0,000189703021203612i</v>
      </c>
      <c r="AM35">
        <f t="shared" si="78"/>
        <v>1.0000000179936179</v>
      </c>
      <c r="AN35">
        <f t="shared" si="79"/>
        <v>-1.897030189279829E-4</v>
      </c>
      <c r="AO35" s="58" t="str">
        <f t="shared" si="80"/>
        <v>20,9852752434873-0,998488035142941i</v>
      </c>
      <c r="AP35">
        <f t="shared" si="81"/>
        <v>26.448114257126988</v>
      </c>
      <c r="AQ35" s="60">
        <f t="shared" si="82"/>
        <v>-2.724102321488699</v>
      </c>
      <c r="AR35" t="str">
        <f t="shared" si="83"/>
        <v>-1,05811623246493</v>
      </c>
      <c r="AS35" t="str">
        <f t="shared" si="51"/>
        <v>1+0,00274790565544079i</v>
      </c>
      <c r="AT35">
        <f t="shared" si="84"/>
        <v>1.0000037754856184</v>
      </c>
      <c r="AU35">
        <f t="shared" si="85"/>
        <v>2.7478987390068804E-3</v>
      </c>
      <c r="AV35" t="str">
        <f t="shared" si="52"/>
        <v>1+0,00274790565544079i</v>
      </c>
      <c r="AW35">
        <f t="shared" si="86"/>
        <v>1.0000037754856184</v>
      </c>
      <c r="AX35">
        <f t="shared" si="87"/>
        <v>2.7478987390068804E-3</v>
      </c>
      <c r="AY35" t="str">
        <f t="shared" si="53"/>
        <v>1-9,26325305388344i</v>
      </c>
      <c r="AZ35">
        <f t="shared" si="88"/>
        <v>9.3170734214280451</v>
      </c>
      <c r="BA35">
        <f t="shared" si="89"/>
        <v>-1.4632593433117431</v>
      </c>
      <c r="BB35" s="58" t="str">
        <f t="shared" si="90"/>
        <v>-1,03117457834518+9,80443199219998i</v>
      </c>
      <c r="BC35">
        <f t="shared" si="91"/>
        <v>19.876225102371354</v>
      </c>
      <c r="BD35" s="60">
        <f t="shared" si="92"/>
        <v>96.003972294878338</v>
      </c>
      <c r="BE35" s="58" t="str">
        <f t="shared" si="93"/>
        <v>-0,802432574553475+134,781315855573i</v>
      </c>
      <c r="BF35" s="37">
        <f t="shared" si="94"/>
        <v>42.592747774460122</v>
      </c>
      <c r="BG35" s="60">
        <f t="shared" si="95"/>
        <v>90.341111498842224</v>
      </c>
      <c r="BH35" s="58" t="str">
        <f t="shared" si="96"/>
        <v>-11,8498743150762+206,77831944099i</v>
      </c>
      <c r="BI35" s="37">
        <f t="shared" si="97"/>
        <v>46.324339359498332</v>
      </c>
      <c r="BJ35" s="60">
        <f t="shared" si="98"/>
        <v>93.279869973389623</v>
      </c>
      <c r="BK35">
        <f t="shared" si="99"/>
        <v>42.592747774460122</v>
      </c>
      <c r="BL35" s="60">
        <f t="shared" si="100"/>
        <v>90.341111498842224</v>
      </c>
      <c r="BN35">
        <f t="shared" si="101"/>
        <v>0</v>
      </c>
      <c r="BO35">
        <f t="shared" si="102"/>
        <v>0</v>
      </c>
    </row>
    <row r="36" spans="1:67" x14ac:dyDescent="0.25">
      <c r="A36" t="s">
        <v>476</v>
      </c>
      <c r="B36" s="23">
        <f>w_p_low</f>
        <v>925.92592592592587</v>
      </c>
      <c r="C36" t="s">
        <v>483</v>
      </c>
      <c r="E36" t="s">
        <v>484</v>
      </c>
      <c r="M36" s="66">
        <v>18</v>
      </c>
      <c r="N36" s="36">
        <f t="shared" si="54"/>
        <v>15.135612484362087</v>
      </c>
      <c r="O36" s="91" t="str">
        <f t="shared" si="55"/>
        <v>13,7404580152672</v>
      </c>
      <c r="P36" s="67" t="str">
        <f t="shared" si="56"/>
        <v>1+0,10270784661506i</v>
      </c>
      <c r="Q36" s="67">
        <f t="shared" si="57"/>
        <v>1.0052606138491167</v>
      </c>
      <c r="R36" s="67">
        <f t="shared" si="58"/>
        <v>0.10234896372228655</v>
      </c>
      <c r="S36" s="67" t="str">
        <f t="shared" si="59"/>
        <v>1+0,00285299573930724i</v>
      </c>
      <c r="T36" s="67">
        <f t="shared" si="60"/>
        <v>1.0000040697840626</v>
      </c>
      <c r="U36" s="67">
        <f t="shared" si="61"/>
        <v>2.8529879986115649E-3</v>
      </c>
      <c r="V36" t="str">
        <f t="shared" si="62"/>
        <v>1-0,000594374112355674i</v>
      </c>
      <c r="W36" s="67">
        <f t="shared" si="63"/>
        <v>1.0000001766402771</v>
      </c>
      <c r="X36" s="67">
        <f t="shared" si="64"/>
        <v>-5.9437404236207733E-4</v>
      </c>
      <c r="Y36" t="str">
        <f t="shared" si="65"/>
        <v>0,999999985338447+0,00103133739108799i</v>
      </c>
      <c r="Z36" s="67">
        <f t="shared" si="66"/>
        <v>1.0000005171667206</v>
      </c>
      <c r="AA36" s="67">
        <f t="shared" si="67"/>
        <v>1.0313370405462005E-3</v>
      </c>
      <c r="AB36" s="92" t="str">
        <f t="shared" si="68"/>
        <v>13,5987787321462-1,37983787458563i</v>
      </c>
      <c r="AC36" s="37">
        <f t="shared" si="69"/>
        <v>22.714483236536704</v>
      </c>
      <c r="AD36" s="60">
        <f t="shared" si="70"/>
        <v>-5.7938458712609107</v>
      </c>
      <c r="AE36" t="str">
        <f t="shared" si="71"/>
        <v>21,0353732052265</v>
      </c>
      <c r="AF36" t="str">
        <f t="shared" si="72"/>
        <v>1+0,0513539233075303i</v>
      </c>
      <c r="AG36">
        <f t="shared" si="73"/>
        <v>1.0013177444942618</v>
      </c>
      <c r="AH36">
        <f t="shared" si="74"/>
        <v>5.130885064847375E-2</v>
      </c>
      <c r="AI36" t="str">
        <f t="shared" si="50"/>
        <v>1+0,00285299573930724i</v>
      </c>
      <c r="AJ36">
        <f t="shared" si="75"/>
        <v>1.0000040697840626</v>
      </c>
      <c r="AK36">
        <f t="shared" si="76"/>
        <v>2.8529879986115649E-3</v>
      </c>
      <c r="AL36" t="str">
        <f t="shared" si="77"/>
        <v>1-0,000194121772212144i</v>
      </c>
      <c r="AM36">
        <f t="shared" si="78"/>
        <v>1.0000000188416311</v>
      </c>
      <c r="AN36">
        <f t="shared" si="79"/>
        <v>-1.9412176977376351E-4</v>
      </c>
      <c r="AO36" s="58" t="str">
        <f t="shared" si="80"/>
        <v>20,9829204095183-1,02162487927491i</v>
      </c>
      <c r="AP36">
        <f t="shared" si="81"/>
        <v>26.447601696400742</v>
      </c>
      <c r="AQ36" s="60">
        <f t="shared" si="82"/>
        <v>-2.7874387806223564</v>
      </c>
      <c r="AR36" t="str">
        <f t="shared" si="83"/>
        <v>-1,05811623246493</v>
      </c>
      <c r="AS36" t="str">
        <f t="shared" si="51"/>
        <v>1+0,00281191260066121i</v>
      </c>
      <c r="AT36">
        <f t="shared" si="84"/>
        <v>1.000003953418422</v>
      </c>
      <c r="AU36">
        <f t="shared" si="85"/>
        <v>2.8119051895703351E-3</v>
      </c>
      <c r="AV36" t="str">
        <f t="shared" si="52"/>
        <v>1+0,00281191260066121i</v>
      </c>
      <c r="AW36">
        <f t="shared" si="86"/>
        <v>1.000003953418422</v>
      </c>
      <c r="AX36">
        <f t="shared" si="87"/>
        <v>2.8119051895703351E-3</v>
      </c>
      <c r="AY36" t="str">
        <f t="shared" si="53"/>
        <v>1-9,05239567138748i</v>
      </c>
      <c r="AZ36">
        <f t="shared" si="88"/>
        <v>9.1074621817142223</v>
      </c>
      <c r="BA36">
        <f t="shared" si="89"/>
        <v>-1.4607744235860751</v>
      </c>
      <c r="BB36" s="58" t="str">
        <f t="shared" si="90"/>
        <v>-1,03117421138709+9,58138637434884i</v>
      </c>
      <c r="BC36">
        <f t="shared" si="91"/>
        <v>19.678580729947512</v>
      </c>
      <c r="BD36" s="60">
        <f t="shared" si="92"/>
        <v>96.142680408108973</v>
      </c>
      <c r="BE36" s="58" t="str">
        <f t="shared" si="93"/>
        <v>-0,801950124583174+131,718006484138i</v>
      </c>
      <c r="BF36" s="37">
        <f t="shared" si="94"/>
        <v>42.393063966484199</v>
      </c>
      <c r="BG36" s="60">
        <f t="shared" si="95"/>
        <v>90.348834536848059</v>
      </c>
      <c r="BH36" s="58" t="str">
        <f t="shared" si="96"/>
        <v>-11,8484637079027+202,098940935025i</v>
      </c>
      <c r="BI36" s="37">
        <f t="shared" si="97"/>
        <v>46.126182426348272</v>
      </c>
      <c r="BJ36" s="60">
        <f t="shared" si="98"/>
        <v>93.355241627486606</v>
      </c>
      <c r="BK36">
        <f t="shared" si="99"/>
        <v>42.393063966484199</v>
      </c>
      <c r="BL36" s="60">
        <f t="shared" si="100"/>
        <v>90.348834536848059</v>
      </c>
      <c r="BN36">
        <f t="shared" si="101"/>
        <v>0</v>
      </c>
      <c r="BO36">
        <f t="shared" si="102"/>
        <v>0</v>
      </c>
    </row>
    <row r="37" spans="1:67" x14ac:dyDescent="0.25">
      <c r="B37" s="23">
        <f>wp_lf/(2*PI())</f>
        <v>147.36568804805123</v>
      </c>
      <c r="C37" t="s">
        <v>70</v>
      </c>
      <c r="E37" t="s">
        <v>485</v>
      </c>
      <c r="M37" s="66">
        <v>19</v>
      </c>
      <c r="N37" s="36">
        <f t="shared" si="54"/>
        <v>15.488166189124817</v>
      </c>
      <c r="O37" s="91" t="str">
        <f t="shared" si="55"/>
        <v>13,7404580152672</v>
      </c>
      <c r="P37" s="67" t="str">
        <f t="shared" si="56"/>
        <v>1+0,105100219693438i</v>
      </c>
      <c r="Q37" s="67">
        <f t="shared" si="57"/>
        <v>1.0055078598298517</v>
      </c>
      <c r="R37" s="67">
        <f t="shared" si="58"/>
        <v>0.1047157834207073</v>
      </c>
      <c r="S37" s="67" t="str">
        <f t="shared" si="59"/>
        <v>1+0,00291945054703994i</v>
      </c>
      <c r="T37" s="67">
        <f t="shared" si="60"/>
        <v>1.0000042615866678</v>
      </c>
      <c r="U37" s="67">
        <f t="shared" si="61"/>
        <v>2.9194422527369971E-3</v>
      </c>
      <c r="V37" t="str">
        <f t="shared" si="62"/>
        <v>1-0,000608218863966654i</v>
      </c>
      <c r="W37" s="67">
        <f t="shared" si="63"/>
        <v>1.0000001849650761</v>
      </c>
      <c r="X37" s="67">
        <f t="shared" si="64"/>
        <v>-6.0821878896716471E-4</v>
      </c>
      <c r="Y37" t="str">
        <f t="shared" si="65"/>
        <v>0,999999984647469+0,00105536032497746i</v>
      </c>
      <c r="Z37" s="67">
        <f t="shared" si="66"/>
        <v>1.0000005415400302</v>
      </c>
      <c r="AA37" s="67">
        <f t="shared" si="67"/>
        <v>1.0553599493651768E-3</v>
      </c>
      <c r="AB37" s="92" t="str">
        <f t="shared" si="68"/>
        <v>13,5921745432705-1,41128432786736i</v>
      </c>
      <c r="AC37" s="37">
        <f t="shared" si="69"/>
        <v>22.712348712798342</v>
      </c>
      <c r="AD37" s="60">
        <f t="shared" si="70"/>
        <v>-5.9278167593926803</v>
      </c>
      <c r="AE37" t="str">
        <f t="shared" si="71"/>
        <v>21,0353732052265</v>
      </c>
      <c r="AF37" t="str">
        <f t="shared" si="72"/>
        <v>1+0,052550109846719i</v>
      </c>
      <c r="AG37">
        <f t="shared" si="73"/>
        <v>1.001379805091406</v>
      </c>
      <c r="AH37">
        <f t="shared" si="74"/>
        <v>5.2501817215834037E-2</v>
      </c>
      <c r="AI37" t="str">
        <f t="shared" si="50"/>
        <v>1+0,00291945054703994i</v>
      </c>
      <c r="AJ37">
        <f t="shared" si="75"/>
        <v>1.0000042615866678</v>
      </c>
      <c r="AK37">
        <f t="shared" si="76"/>
        <v>2.9194422527369971E-3</v>
      </c>
      <c r="AL37" t="str">
        <f t="shared" si="77"/>
        <v>1-0,000198643449153807i</v>
      </c>
      <c r="AM37">
        <f t="shared" si="78"/>
        <v>1.0000000197296097</v>
      </c>
      <c r="AN37">
        <f t="shared" si="79"/>
        <v>-1.9864344654103522E-4</v>
      </c>
      <c r="AO37" s="58" t="str">
        <f t="shared" si="80"/>
        <v>20,9804551931449-1,04529203231047i</v>
      </c>
      <c r="AP37">
        <f t="shared" si="81"/>
        <v>26.447065044664821</v>
      </c>
      <c r="AQ37" s="60">
        <f t="shared" si="82"/>
        <v>-2.8522422547353243</v>
      </c>
      <c r="AR37" t="str">
        <f t="shared" si="83"/>
        <v>-1,05811623246493</v>
      </c>
      <c r="AS37" t="str">
        <f t="shared" si="51"/>
        <v>1+0,00287741045916257i</v>
      </c>
      <c r="AT37">
        <f t="shared" si="84"/>
        <v>1.0000041397369064</v>
      </c>
      <c r="AU37">
        <f t="shared" si="85"/>
        <v>2.8774025180373997E-3</v>
      </c>
      <c r="AV37" t="str">
        <f t="shared" si="52"/>
        <v>1+0,00287741045916257i</v>
      </c>
      <c r="AW37">
        <f t="shared" si="86"/>
        <v>1.0000041397369064</v>
      </c>
      <c r="AX37">
        <f t="shared" si="87"/>
        <v>2.8774025180373997E-3</v>
      </c>
      <c r="AY37" t="str">
        <f t="shared" si="53"/>
        <v>1-8,84633798889911i</v>
      </c>
      <c r="AZ37">
        <f t="shared" si="88"/>
        <v>8.9026791368575982</v>
      </c>
      <c r="BA37">
        <f t="shared" si="89"/>
        <v>-1.4582330343811125</v>
      </c>
      <c r="BB37" s="58" t="str">
        <f t="shared" si="90"/>
        <v>-1,03117382713509+9,36342093428073i</v>
      </c>
      <c r="BC37">
        <f t="shared" si="91"/>
        <v>19.48104600435796</v>
      </c>
      <c r="BD37" s="60">
        <f t="shared" si="92"/>
        <v>96.284538563162926</v>
      </c>
      <c r="BE37" s="58" t="str">
        <f t="shared" si="93"/>
        <v>-0,801445423096839+128,724531122399i</v>
      </c>
      <c r="BF37" s="37">
        <f t="shared" si="94"/>
        <v>42.193394717156274</v>
      </c>
      <c r="BG37" s="60">
        <f t="shared" si="95"/>
        <v>90.356721803770242</v>
      </c>
      <c r="BH37" s="58" t="str">
        <f t="shared" si="96"/>
        <v>-11,8469869787788+197,526711151663i</v>
      </c>
      <c r="BI37" s="37">
        <f t="shared" si="97"/>
        <v>45.928111049022775</v>
      </c>
      <c r="BJ37" s="60">
        <f t="shared" si="98"/>
        <v>93.432296308427595</v>
      </c>
      <c r="BK37">
        <f t="shared" si="99"/>
        <v>42.193394717156274</v>
      </c>
      <c r="BL37" s="60">
        <f t="shared" si="100"/>
        <v>90.356721803770242</v>
      </c>
      <c r="BN37">
        <f t="shared" si="101"/>
        <v>0</v>
      </c>
      <c r="BO37">
        <f t="shared" si="102"/>
        <v>0</v>
      </c>
    </row>
    <row r="38" spans="1:67" x14ac:dyDescent="0.25">
      <c r="M38" s="66">
        <v>20</v>
      </c>
      <c r="N38" s="36">
        <f t="shared" si="54"/>
        <v>15.848931924611136</v>
      </c>
      <c r="O38" s="91" t="str">
        <f t="shared" si="55"/>
        <v>13,7404580152672</v>
      </c>
      <c r="P38" s="67" t="str">
        <f t="shared" si="56"/>
        <v>1+0,107548318299463i</v>
      </c>
      <c r="Q38" s="67">
        <f t="shared" si="57"/>
        <v>1.0057666930103832</v>
      </c>
      <c r="R38" s="67">
        <f t="shared" si="58"/>
        <v>0.1071365148654965</v>
      </c>
      <c r="S38" s="67" t="str">
        <f t="shared" si="59"/>
        <v>1+0,00298745328609619i</v>
      </c>
      <c r="T38" s="67">
        <f t="shared" si="60"/>
        <v>1.0000044624286117</v>
      </c>
      <c r="U38" s="67">
        <f t="shared" si="61"/>
        <v>2.9874443985926052E-3</v>
      </c>
      <c r="V38" t="str">
        <f t="shared" si="62"/>
        <v>1-0,000622386101270039i</v>
      </c>
      <c r="W38" s="67">
        <f t="shared" si="63"/>
        <v>1.0000001936822107</v>
      </c>
      <c r="X38" s="67">
        <f t="shared" si="64"/>
        <v>-6.223860209066391E-4</v>
      </c>
      <c r="Y38" t="str">
        <f t="shared" si="65"/>
        <v>0,999999983923927+0,00107994282488057i</v>
      </c>
      <c r="Z38" s="67">
        <f t="shared" si="66"/>
        <v>1.0000005670620187</v>
      </c>
      <c r="AA38" s="67">
        <f t="shared" si="67"/>
        <v>1.0799424224047691E-3</v>
      </c>
      <c r="AB38" s="92" t="str">
        <f t="shared" si="68"/>
        <v>13,5852660661729-1,44341436989511i</v>
      </c>
      <c r="AC38" s="37">
        <f t="shared" si="69"/>
        <v>22.710114717523716</v>
      </c>
      <c r="AD38" s="60">
        <f t="shared" si="70"/>
        <v>-6.0648384131110316</v>
      </c>
      <c r="AE38" t="str">
        <f t="shared" si="71"/>
        <v>21,0353732052265</v>
      </c>
      <c r="AF38" t="str">
        <f t="shared" si="72"/>
        <v>1+0,0537741591497314i</v>
      </c>
      <c r="AG38">
        <f t="shared" si="73"/>
        <v>1.0014447863922706</v>
      </c>
      <c r="AH38">
        <f t="shared" si="74"/>
        <v>5.3722416694604203E-2</v>
      </c>
      <c r="AI38" t="str">
        <f t="shared" si="50"/>
        <v>1+0,00298745328609619i</v>
      </c>
      <c r="AJ38">
        <f t="shared" si="75"/>
        <v>1.0000044624286117</v>
      </c>
      <c r="AK38">
        <f t="shared" si="76"/>
        <v>2.9874443985926052E-3</v>
      </c>
      <c r="AL38" t="str">
        <f t="shared" si="77"/>
        <v>1-0,000203270449481569i</v>
      </c>
      <c r="AM38">
        <f t="shared" si="78"/>
        <v>1.0000000206594377</v>
      </c>
      <c r="AN38">
        <f t="shared" si="79"/>
        <v>-2.0327044668193357E-4</v>
      </c>
      <c r="AO38" s="58" t="str">
        <f t="shared" si="80"/>
        <v>20,977874449607-1,06950123423648i</v>
      </c>
      <c r="AP38">
        <f t="shared" si="81"/>
        <v>26.446503172820851</v>
      </c>
      <c r="AQ38" s="60">
        <f t="shared" si="82"/>
        <v>-2.9185463249692445</v>
      </c>
      <c r="AR38" t="str">
        <f t="shared" si="83"/>
        <v>-1,05811623246493</v>
      </c>
      <c r="AS38" t="str">
        <f t="shared" si="51"/>
        <v>1+0,0029444339587764i</v>
      </c>
      <c r="AT38">
        <f t="shared" si="84"/>
        <v>1.0000043348362733</v>
      </c>
      <c r="AU38">
        <f t="shared" si="85"/>
        <v>2.9444254497094672E-3</v>
      </c>
      <c r="AV38" t="str">
        <f t="shared" si="52"/>
        <v>1+0,0029444339587764i</v>
      </c>
      <c r="AW38">
        <f t="shared" si="86"/>
        <v>1.0000043348362733</v>
      </c>
      <c r="AX38">
        <f t="shared" si="87"/>
        <v>2.9444254497094672E-3</v>
      </c>
      <c r="AY38" t="str">
        <f t="shared" si="53"/>
        <v>1-8,64497075190758i</v>
      </c>
      <c r="AZ38">
        <f t="shared" si="88"/>
        <v>8.7026156586015873</v>
      </c>
      <c r="BA38">
        <f t="shared" si="89"/>
        <v>-1.4556339596015861</v>
      </c>
      <c r="BB38" s="58" t="str">
        <f t="shared" si="90"/>
        <v>-1,03117342477415+9,15042010382725i</v>
      </c>
      <c r="BC38">
        <f t="shared" si="91"/>
        <v>19.283625962585347</v>
      </c>
      <c r="BD38" s="60">
        <f t="shared" si="92"/>
        <v>96.429614447553291</v>
      </c>
      <c r="BE38" s="58" t="str">
        <f t="shared" si="93"/>
        <v>-0,800917467482197+125,799302266924i</v>
      </c>
      <c r="BF38" s="37">
        <f t="shared" si="94"/>
        <v>41.993740680109084</v>
      </c>
      <c r="BG38" s="60">
        <f t="shared" si="95"/>
        <v>90.364776034442244</v>
      </c>
      <c r="BH38" s="58" t="str">
        <f t="shared" si="96"/>
        <v>-11,8454410458578+193,059205349756i</v>
      </c>
      <c r="BI38" s="37">
        <f t="shared" si="97"/>
        <v>45.730129135406216</v>
      </c>
      <c r="BJ38" s="60">
        <f t="shared" si="98"/>
        <v>93.511068122584021</v>
      </c>
      <c r="BK38">
        <f t="shared" si="99"/>
        <v>41.993740680109084</v>
      </c>
      <c r="BL38" s="60">
        <f t="shared" si="100"/>
        <v>90.364776034442244</v>
      </c>
      <c r="BN38">
        <f t="shared" si="101"/>
        <v>0</v>
      </c>
      <c r="BO38">
        <f t="shared" si="102"/>
        <v>0</v>
      </c>
    </row>
    <row r="39" spans="1:67" x14ac:dyDescent="0.25">
      <c r="A39" t="s">
        <v>477</v>
      </c>
      <c r="B39" s="23">
        <f>((VOUT/IOUT_vari)*((Vin_vari/VOUT)^2))/Lm</f>
        <v>159999.99999999997</v>
      </c>
      <c r="C39" t="s">
        <v>483</v>
      </c>
      <c r="M39" s="66">
        <v>21</v>
      </c>
      <c r="N39" s="36">
        <f t="shared" si="54"/>
        <v>16.218100973589298</v>
      </c>
      <c r="O39" s="91" t="str">
        <f t="shared" si="55"/>
        <v>13,7404580152672</v>
      </c>
      <c r="P39" s="67" t="str">
        <f t="shared" si="56"/>
        <v>1+0,11005344044742i</v>
      </c>
      <c r="Q39" s="67">
        <f t="shared" si="57"/>
        <v>1.0060376532487807</v>
      </c>
      <c r="R39" s="67">
        <f t="shared" si="58"/>
        <v>0.10961232801589764</v>
      </c>
      <c r="S39" s="67" t="str">
        <f t="shared" si="59"/>
        <v>1+0,00305704001242833i</v>
      </c>
      <c r="T39" s="67">
        <f t="shared" si="60"/>
        <v>1.0000046727359015</v>
      </c>
      <c r="U39" s="67">
        <f t="shared" si="61"/>
        <v>3.0570304892990671E-3</v>
      </c>
      <c r="V39" t="str">
        <f t="shared" si="62"/>
        <v>1-0,000636883335922569i</v>
      </c>
      <c r="W39" s="67">
        <f t="shared" si="63"/>
        <v>1.0000002028101711</v>
      </c>
      <c r="X39" s="67">
        <f t="shared" si="64"/>
        <v>-6.3688324981163566E-4</v>
      </c>
      <c r="Y39" t="str">
        <f t="shared" si="65"/>
        <v>0,999999983166285+0,00110509792476417i</v>
      </c>
      <c r="Z39" s="67">
        <f t="shared" si="66"/>
        <v>1.0000005937868204</v>
      </c>
      <c r="AA39" s="67">
        <f t="shared" si="67"/>
        <v>1.105097493503593E-3</v>
      </c>
      <c r="AB39" s="92" t="str">
        <f t="shared" si="68"/>
        <v>13,5780396196689-1,47624051669262i</v>
      </c>
      <c r="AC39" s="37">
        <f t="shared" si="69"/>
        <v>22.707776670076175</v>
      </c>
      <c r="AD39" s="60">
        <f t="shared" si="70"/>
        <v>-6.2049769776199071</v>
      </c>
      <c r="AE39" t="str">
        <f t="shared" si="71"/>
        <v>21,0353732052265</v>
      </c>
      <c r="AF39" t="str">
        <f t="shared" si="72"/>
        <v>1+0,05502672022371i</v>
      </c>
      <c r="AG39">
        <f t="shared" si="73"/>
        <v>1.0015128256485677</v>
      </c>
      <c r="AH39">
        <f t="shared" si="74"/>
        <v>5.4971281706325877E-2</v>
      </c>
      <c r="AI39" t="str">
        <f t="shared" si="50"/>
        <v>1+0,00305704001242833i</v>
      </c>
      <c r="AJ39">
        <f t="shared" si="75"/>
        <v>1.0000046727359015</v>
      </c>
      <c r="AK39">
        <f t="shared" si="76"/>
        <v>3.0570304892990671E-3</v>
      </c>
      <c r="AL39" t="str">
        <f t="shared" si="77"/>
        <v>1-0,000208005226492249i</v>
      </c>
      <c r="AM39">
        <f t="shared" si="78"/>
        <v>1.0000000216330869</v>
      </c>
      <c r="AN39">
        <f t="shared" si="79"/>
        <v>-2.0800522349238563E-4</v>
      </c>
      <c r="AO39" s="58" t="str">
        <f t="shared" si="80"/>
        <v>20,9751727971812-1,09426445515762i</v>
      </c>
      <c r="AP39">
        <f t="shared" si="81"/>
        <v>26.445914899160417</v>
      </c>
      <c r="AQ39" s="60">
        <f t="shared" si="82"/>
        <v>-2.9863853127403095</v>
      </c>
      <c r="AR39" t="str">
        <f t="shared" si="83"/>
        <v>-1,05811623246493</v>
      </c>
      <c r="AS39" t="str">
        <f t="shared" si="51"/>
        <v>1+0,00301301863624936i</v>
      </c>
      <c r="AT39">
        <f t="shared" si="84"/>
        <v>1.0000045391303494</v>
      </c>
      <c r="AU39">
        <f t="shared" si="85"/>
        <v>3.0130095186221072E-3</v>
      </c>
      <c r="AV39" t="str">
        <f t="shared" si="52"/>
        <v>1+0,00301301863624936i</v>
      </c>
      <c r="AW39">
        <f t="shared" si="86"/>
        <v>1.0000045391303494</v>
      </c>
      <c r="AX39">
        <f t="shared" si="87"/>
        <v>3.0130095186221072E-3</v>
      </c>
      <c r="AY39" t="str">
        <f t="shared" si="53"/>
        <v>1-8,44818719283845i</v>
      </c>
      <c r="AZ39">
        <f t="shared" si="88"/>
        <v>8.5071656175978863</v>
      </c>
      <c r="BA39">
        <f t="shared" si="89"/>
        <v>-1.4529759617175355</v>
      </c>
      <c r="BB39" s="58" t="str">
        <f t="shared" si="90"/>
        <v>-1,03117300345086+8,94227094712128i</v>
      </c>
      <c r="BC39">
        <f t="shared" si="91"/>
        <v>19.086325866655869</v>
      </c>
      <c r="BD39" s="60">
        <f t="shared" si="92"/>
        <v>96.577976930573541</v>
      </c>
      <c r="BE39" s="58" t="str">
        <f t="shared" si="93"/>
        <v>-0,800365212205028+122,940768577241i</v>
      </c>
      <c r="BF39" s="37">
        <f t="shared" si="94"/>
        <v>41.794102536732076</v>
      </c>
      <c r="BG39" s="60">
        <f t="shared" si="95"/>
        <v>90.37299995295362</v>
      </c>
      <c r="BH39" s="58" t="str">
        <f t="shared" si="96"/>
        <v>-11,8438226853466+188,694054279876i</v>
      </c>
      <c r="BI39" s="37">
        <f t="shared" si="97"/>
        <v>45.532240765816269</v>
      </c>
      <c r="BJ39" s="60">
        <f t="shared" si="98"/>
        <v>93.591591617833231</v>
      </c>
      <c r="BK39">
        <f t="shared" si="99"/>
        <v>41.794102536732076</v>
      </c>
      <c r="BL39" s="60">
        <f t="shared" si="100"/>
        <v>90.37299995295362</v>
      </c>
      <c r="BN39">
        <f t="shared" si="101"/>
        <v>0</v>
      </c>
      <c r="BO39">
        <f t="shared" si="102"/>
        <v>0</v>
      </c>
    </row>
    <row r="40" spans="1:67" x14ac:dyDescent="0.25">
      <c r="B40" s="23">
        <f>wz_rhp/(2*PI())</f>
        <v>25464.790894703248</v>
      </c>
      <c r="C40" t="s">
        <v>70</v>
      </c>
      <c r="E40" t="s">
        <v>486</v>
      </c>
      <c r="M40" s="66">
        <v>22</v>
      </c>
      <c r="N40" s="36">
        <f t="shared" si="54"/>
        <v>16.595869074375614</v>
      </c>
      <c r="O40" s="91" t="str">
        <f t="shared" si="55"/>
        <v>13,7404580152672</v>
      </c>
      <c r="P40" s="67" t="str">
        <f t="shared" si="56"/>
        <v>1+0,112616914386232i</v>
      </c>
      <c r="Q40" s="67">
        <f t="shared" si="57"/>
        <v>1.0063213052528879</v>
      </c>
      <c r="R40" s="67">
        <f t="shared" si="58"/>
        <v>0.11214441410783131</v>
      </c>
      <c r="S40" s="67" t="str">
        <f t="shared" si="59"/>
        <v>1+0,00312824762183979i</v>
      </c>
      <c r="T40" s="67">
        <f t="shared" si="60"/>
        <v>1.0000048929546212</v>
      </c>
      <c r="U40" s="67">
        <f t="shared" si="61"/>
        <v>3.1282374176256349E-3</v>
      </c>
      <c r="V40" t="str">
        <f t="shared" si="62"/>
        <v>1-0,000651718254549956i</v>
      </c>
      <c r="W40" s="67">
        <f t="shared" si="63"/>
        <v>1.0000002123683192</v>
      </c>
      <c r="X40" s="67">
        <f t="shared" si="64"/>
        <v>-6.5171816228042957E-4</v>
      </c>
      <c r="Y40" t="str">
        <f t="shared" si="65"/>
        <v>0,999999982372936+0,00113083896219518i</v>
      </c>
      <c r="Z40" s="67">
        <f t="shared" si="66"/>
        <v>1.0000006217711219</v>
      </c>
      <c r="AA40" s="67">
        <f t="shared" si="67"/>
        <v>1.1308385000911624E-3</v>
      </c>
      <c r="AB40" s="92" t="str">
        <f t="shared" si="68"/>
        <v>13,5704809397078-1,50977534292607i</v>
      </c>
      <c r="AC40" s="37">
        <f t="shared" si="69"/>
        <v>22.70532978410753</v>
      </c>
      <c r="AD40" s="60">
        <f t="shared" si="70"/>
        <v>-6.3482997964981216</v>
      </c>
      <c r="AE40" t="str">
        <f t="shared" si="71"/>
        <v>21,0353732052265</v>
      </c>
      <c r="AF40" t="str">
        <f t="shared" si="72"/>
        <v>1+0,0563084571931163i</v>
      </c>
      <c r="AG40">
        <f t="shared" si="73"/>
        <v>1.0015840665423292</v>
      </c>
      <c r="AH40">
        <f t="shared" si="74"/>
        <v>5.6249058824452303E-2</v>
      </c>
      <c r="AI40" t="str">
        <f t="shared" si="50"/>
        <v>1+0,00312824762183979i</v>
      </c>
      <c r="AJ40">
        <f t="shared" si="75"/>
        <v>1.0000048929546212</v>
      </c>
      <c r="AK40">
        <f t="shared" si="76"/>
        <v>3.1282374176256349E-3</v>
      </c>
      <c r="AL40" t="str">
        <f t="shared" si="77"/>
        <v>1-0,00021285029062729i</v>
      </c>
      <c r="AM40">
        <f t="shared" si="78"/>
        <v>1.0000000226526229</v>
      </c>
      <c r="AN40">
        <f t="shared" si="79"/>
        <v>-2.1285028741287849E-4</v>
      </c>
      <c r="AO40" s="58" t="str">
        <f t="shared" si="80"/>
        <v>20,972344606539-1,11959389761301i</v>
      </c>
      <c r="AP40">
        <f t="shared" si="81"/>
        <v>26.44529898694358</v>
      </c>
      <c r="AQ40" s="60">
        <f t="shared" si="82"/>
        <v>-3.0557942940162728</v>
      </c>
      <c r="AR40" t="str">
        <f t="shared" si="83"/>
        <v>-1,05811623246493</v>
      </c>
      <c r="AS40" t="str">
        <f t="shared" si="51"/>
        <v>1+0,0030832008560853i</v>
      </c>
      <c r="AT40">
        <f t="shared" si="84"/>
        <v>1.0000047530524636</v>
      </c>
      <c r="AU40">
        <f t="shared" si="85"/>
        <v>3.0831910863741881E-3</v>
      </c>
      <c r="AV40" t="str">
        <f t="shared" si="52"/>
        <v>1+0,0030832008560853i</v>
      </c>
      <c r="AW40">
        <f t="shared" si="86"/>
        <v>1.0000047530524636</v>
      </c>
      <c r="AX40">
        <f t="shared" si="87"/>
        <v>3.0831910863741881E-3</v>
      </c>
      <c r="AY40" t="str">
        <f t="shared" si="53"/>
        <v>1-8,25588297444389i</v>
      </c>
      <c r="AZ40">
        <f t="shared" si="88"/>
        <v>8.3162253268963617</v>
      </c>
      <c r="BA40">
        <f t="shared" si="89"/>
        <v>-1.4502577817333306</v>
      </c>
      <c r="BB40" s="58" t="str">
        <f t="shared" si="90"/>
        <v>-1,03117256227159+8,7388631007167i</v>
      </c>
      <c r="BC40">
        <f t="shared" si="91"/>
        <v>18.889151213090649</v>
      </c>
      <c r="BD40" s="60">
        <f t="shared" si="92"/>
        <v>96.729696063993629</v>
      </c>
      <c r="BE40" s="58" t="str">
        <f t="shared" si="93"/>
        <v>-0,79978756718773+120,147414051811i</v>
      </c>
      <c r="BF40" s="37">
        <f t="shared" si="94"/>
        <v>41.594480997198161</v>
      </c>
      <c r="BG40" s="60">
        <f t="shared" si="95"/>
        <v>90.381396267495518</v>
      </c>
      <c r="BH40" s="58" t="str">
        <f t="shared" si="96"/>
        <v>-11,8421285251297+184,428942925704i</v>
      </c>
      <c r="BI40" s="37">
        <f t="shared" si="97"/>
        <v>45.33445020003424</v>
      </c>
      <c r="BJ40" s="60">
        <f t="shared" si="98"/>
        <v>93.673901769977377</v>
      </c>
      <c r="BK40">
        <f t="shared" si="99"/>
        <v>41.594480997198161</v>
      </c>
      <c r="BL40" s="60">
        <f t="shared" si="100"/>
        <v>90.381396267495518</v>
      </c>
      <c r="BN40">
        <f t="shared" si="101"/>
        <v>0</v>
      </c>
      <c r="BO40">
        <f t="shared" si="102"/>
        <v>0</v>
      </c>
    </row>
    <row r="41" spans="1:67" x14ac:dyDescent="0.25">
      <c r="M41" s="66">
        <v>23</v>
      </c>
      <c r="N41" s="36">
        <f t="shared" si="54"/>
        <v>16.982436524617448</v>
      </c>
      <c r="O41" s="91" t="str">
        <f t="shared" si="55"/>
        <v>13,7404580152672</v>
      </c>
      <c r="P41" s="67" t="str">
        <f t="shared" si="56"/>
        <v>1+0,115240099303713i</v>
      </c>
      <c r="Q41" s="67">
        <f t="shared" si="57"/>
        <v>1.0066182396954317</v>
      </c>
      <c r="R41" s="67">
        <f t="shared" si="58"/>
        <v>0.11473398574146425</v>
      </c>
      <c r="S41" s="67" t="str">
        <f t="shared" si="59"/>
        <v>1+0,00320111386954758i</v>
      </c>
      <c r="T41" s="67">
        <f t="shared" si="60"/>
        <v>1.0000051235518774</v>
      </c>
      <c r="U41" s="67">
        <f t="shared" si="61"/>
        <v>3.2011029355381439E-3</v>
      </c>
      <c r="V41" t="str">
        <f t="shared" si="62"/>
        <v>1-0,000666898722822413i</v>
      </c>
      <c r="W41" s="67">
        <f t="shared" si="63"/>
        <v>1.0000002223769286</v>
      </c>
      <c r="X41" s="67">
        <f t="shared" si="64"/>
        <v>-6.6689862395383529E-4</v>
      </c>
      <c r="Y41" t="str">
        <f t="shared" si="65"/>
        <v>0,999999981542198+0,00115717958541237i</v>
      </c>
      <c r="Z41" s="67">
        <f t="shared" si="66"/>
        <v>1.0000006510742827</v>
      </c>
      <c r="AA41" s="67">
        <f t="shared" si="67"/>
        <v>1.1571790902590116E-3</v>
      </c>
      <c r="AB41" s="92" t="str">
        <f t="shared" si="68"/>
        <v>13,562575157628-1,54403146788811i</v>
      </c>
      <c r="AC41" s="37">
        <f t="shared" si="69"/>
        <v>22.702769058817466</v>
      </c>
      <c r="AD41" s="60">
        <f t="shared" si="70"/>
        <v>-6.4948754162350673</v>
      </c>
      <c r="AE41" t="str">
        <f t="shared" si="71"/>
        <v>21,0353732052265</v>
      </c>
      <c r="AF41" t="str">
        <f t="shared" si="72"/>
        <v>1+0,0576200496518565i</v>
      </c>
      <c r="AG41">
        <f t="shared" si="73"/>
        <v>1.0016586594852972</v>
      </c>
      <c r="AH41">
        <f t="shared" si="74"/>
        <v>5.7556408843911645E-2</v>
      </c>
      <c r="AI41" t="str">
        <f t="shared" si="50"/>
        <v>1+0,00320111386954758i</v>
      </c>
      <c r="AJ41">
        <f t="shared" si="75"/>
        <v>1.0000051235518774</v>
      </c>
      <c r="AK41">
        <f t="shared" si="76"/>
        <v>3.2011029355381439E-3</v>
      </c>
      <c r="AL41" t="str">
        <f t="shared" si="77"/>
        <v>1-0,000217808210803827i</v>
      </c>
      <c r="AM41">
        <f t="shared" si="78"/>
        <v>1.000000023720208</v>
      </c>
      <c r="AN41">
        <f t="shared" si="79"/>
        <v>-2.17808207359523E-4</v>
      </c>
      <c r="AO41" s="58" t="str">
        <f t="shared" si="80"/>
        <v>20,9693839896528-1,1455019987357i</v>
      </c>
      <c r="AP41">
        <f t="shared" si="81"/>
        <v>26.444654141868554</v>
      </c>
      <c r="AQ41" s="60">
        <f t="shared" si="82"/>
        <v>-3.1268091137173188</v>
      </c>
      <c r="AR41" t="str">
        <f t="shared" si="83"/>
        <v>-1,05811623246493</v>
      </c>
      <c r="AS41" t="str">
        <f t="shared" si="51"/>
        <v>1+0,0031550178298261i</v>
      </c>
      <c r="AT41">
        <f t="shared" si="84"/>
        <v>1.0000049770563677</v>
      </c>
      <c r="AU41">
        <f t="shared" si="85"/>
        <v>3.1550073613948516E-3</v>
      </c>
      <c r="AV41" t="str">
        <f t="shared" si="52"/>
        <v>1+0,0031550178298261i</v>
      </c>
      <c r="AW41">
        <f t="shared" si="86"/>
        <v>1.0000049770563677</v>
      </c>
      <c r="AX41">
        <f t="shared" si="87"/>
        <v>3.1550073613948516E-3</v>
      </c>
      <c r="AY41" t="str">
        <f t="shared" si="53"/>
        <v>1-8,06795613448197i</v>
      </c>
      <c r="AZ41">
        <f t="shared" si="88"/>
        <v>8.12969348671432</v>
      </c>
      <c r="BA41">
        <f t="shared" si="89"/>
        <v>-1.447478139186563</v>
      </c>
      <c r="BB41" s="58" t="str">
        <f t="shared" si="90"/>
        <v>-1,03117210030058+8,54008871507245i</v>
      </c>
      <c r="BC41">
        <f t="shared" si="91"/>
        <v>18.692107742696756</v>
      </c>
      <c r="BD41" s="60">
        <f t="shared" si="92"/>
        <v>96.884843081019369</v>
      </c>
      <c r="BE41" s="58" t="str">
        <f t="shared" si="93"/>
        <v>-0,799183396147736+117,417757222653i</v>
      </c>
      <c r="BF41" s="37">
        <f t="shared" si="94"/>
        <v>41.394876801514201</v>
      </c>
      <c r="BG41" s="60">
        <f t="shared" si="95"/>
        <v>90.389967664784294</v>
      </c>
      <c r="BH41" s="58" t="str">
        <f t="shared" si="96"/>
        <v>-11,8403550381239+180,26160927399i</v>
      </c>
      <c r="BI41" s="37">
        <f t="shared" si="97"/>
        <v>45.136761884565324</v>
      </c>
      <c r="BJ41" s="60">
        <f t="shared" si="98"/>
        <v>93.758033967302026</v>
      </c>
      <c r="BK41">
        <f t="shared" si="99"/>
        <v>41.394876801514201</v>
      </c>
      <c r="BL41" s="60">
        <f t="shared" si="100"/>
        <v>90.389967664784294</v>
      </c>
      <c r="BN41">
        <f t="shared" si="101"/>
        <v>0</v>
      </c>
      <c r="BO41">
        <f t="shared" si="102"/>
        <v>0</v>
      </c>
    </row>
    <row r="42" spans="1:67" x14ac:dyDescent="0.25">
      <c r="A42" t="s">
        <v>478</v>
      </c>
      <c r="B42" s="23">
        <f>1/(COUT*RESR)</f>
        <v>33333.333333333336</v>
      </c>
      <c r="C42" t="s">
        <v>483</v>
      </c>
      <c r="M42" s="66">
        <v>24</v>
      </c>
      <c r="N42" s="36">
        <f t="shared" si="54"/>
        <v>17.378008287493756</v>
      </c>
      <c r="O42" s="91" t="str">
        <f t="shared" si="55"/>
        <v>13,7404580152672</v>
      </c>
      <c r="P42" s="67" t="str">
        <f t="shared" si="56"/>
        <v>1+0,117924386047228i</v>
      </c>
      <c r="Q42" s="67">
        <f t="shared" si="57"/>
        <v>1.0069290743764505</v>
      </c>
      <c r="R42" s="67">
        <f t="shared" si="58"/>
        <v>0.11738227694392528</v>
      </c>
      <c r="S42" s="67" t="str">
        <f t="shared" si="59"/>
        <v>1+0,00327567739020078i</v>
      </c>
      <c r="T42" s="67">
        <f t="shared" si="60"/>
        <v>1.0000053650167906</v>
      </c>
      <c r="U42" s="67">
        <f t="shared" si="61"/>
        <v>3.2756656742019799E-3</v>
      </c>
      <c r="V42" t="str">
        <f t="shared" si="62"/>
        <v>1-0,000682432789625163i</v>
      </c>
      <c r="W42" s="67">
        <f t="shared" si="63"/>
        <v>1.0000002328572291</v>
      </c>
      <c r="X42" s="67">
        <f t="shared" si="64"/>
        <v>-6.8243268368557459E-4</v>
      </c>
      <c r="Y42" t="str">
        <f t="shared" si="65"/>
        <v>0,999999980672309+0,00118413376056283i</v>
      </c>
      <c r="Z42" s="67">
        <f t="shared" si="66"/>
        <v>1.0000006817584584</v>
      </c>
      <c r="AA42" s="67">
        <f t="shared" si="67"/>
        <v>1.1841332299964665E-3</v>
      </c>
      <c r="AB42" s="92" t="str">
        <f t="shared" si="68"/>
        <v>13,5543067779025-1,57902154020432i</v>
      </c>
      <c r="AC42" s="37">
        <f t="shared" si="69"/>
        <v>22.700089269888196</v>
      </c>
      <c r="AD42" s="60">
        <f t="shared" si="70"/>
        <v>-6.6447735893320115</v>
      </c>
      <c r="AE42" t="str">
        <f t="shared" si="71"/>
        <v>21,0353732052265</v>
      </c>
      <c r="AF42" t="str">
        <f t="shared" si="72"/>
        <v>1+0,0589621930236141i</v>
      </c>
      <c r="AG42">
        <f t="shared" si="73"/>
        <v>1.0017367619320725</v>
      </c>
      <c r="AH42">
        <f t="shared" si="74"/>
        <v>5.8894007053067653E-2</v>
      </c>
      <c r="AI42" t="str">
        <f t="shared" si="50"/>
        <v>1+0,00327567739020078i</v>
      </c>
      <c r="AJ42">
        <f t="shared" si="75"/>
        <v>1.0000053650167906</v>
      </c>
      <c r="AK42">
        <f t="shared" si="76"/>
        <v>3.2756656742019799E-3</v>
      </c>
      <c r="AL42" t="str">
        <f t="shared" si="77"/>
        <v>1-0,000222881615776766i</v>
      </c>
      <c r="AM42">
        <f t="shared" si="78"/>
        <v>1.0000000248381071</v>
      </c>
      <c r="AN42">
        <f t="shared" si="79"/>
        <v>-2.2288161208612779E-4</v>
      </c>
      <c r="AO42" s="58" t="str">
        <f t="shared" si="80"/>
        <v>20,9662847882342-1,17200143223758i</v>
      </c>
      <c r="AP42">
        <f t="shared" si="81"/>
        <v>26.443979009428329</v>
      </c>
      <c r="AQ42" s="60">
        <f t="shared" si="82"/>
        <v>-3.1994664002304338</v>
      </c>
      <c r="AR42" t="str">
        <f t="shared" si="83"/>
        <v>-1,05811623246493</v>
      </c>
      <c r="AS42" t="str">
        <f t="shared" si="51"/>
        <v>1+0,00322850763578189i</v>
      </c>
      <c r="AT42">
        <f t="shared" si="84"/>
        <v>1.0000052116171967</v>
      </c>
      <c r="AU42">
        <f t="shared" si="85"/>
        <v>3.2284964186588688E-3</v>
      </c>
      <c r="AV42" t="str">
        <f t="shared" si="52"/>
        <v>1+0,00322850763578189i</v>
      </c>
      <c r="AW42">
        <f t="shared" si="86"/>
        <v>1.0000052116171967</v>
      </c>
      <c r="AX42">
        <f t="shared" si="87"/>
        <v>3.2284964186588688E-3</v>
      </c>
      <c r="AY42" t="str">
        <f t="shared" si="53"/>
        <v>1-7,88430703165452i</v>
      </c>
      <c r="AZ42">
        <f t="shared" si="88"/>
        <v>7.9474711304538204</v>
      </c>
      <c r="BA42">
        <f t="shared" si="89"/>
        <v>-1.4446357321793475</v>
      </c>
      <c r="BB42" s="58" t="str">
        <f t="shared" si="90"/>
        <v>-1,03117161655799+8,3458423973689i</v>
      </c>
      <c r="BC42">
        <f t="shared" si="91"/>
        <v>18.495201450703512</v>
      </c>
      <c r="BD42" s="60">
        <f t="shared" si="92"/>
        <v>97.043490393369581</v>
      </c>
      <c r="BE42" s="58" t="str">
        <f t="shared" si="93"/>
        <v>-0,798551514896689+114,750350368156i</v>
      </c>
      <c r="BF42" s="37">
        <f t="shared" si="94"/>
        <v>41.195290720591736</v>
      </c>
      <c r="BG42" s="60">
        <f t="shared" si="95"/>
        <v>90.398716804037562</v>
      </c>
      <c r="BH42" s="58" t="str">
        <f t="shared" si="96"/>
        <v>-11,8384985353532+176,189843112444i</v>
      </c>
      <c r="BI42" s="37">
        <f t="shared" si="97"/>
        <v>44.939180460131823</v>
      </c>
      <c r="BJ42" s="60">
        <f t="shared" si="98"/>
        <v>93.84402399313916</v>
      </c>
      <c r="BK42">
        <f t="shared" si="99"/>
        <v>41.195290720591736</v>
      </c>
      <c r="BL42" s="60">
        <f t="shared" si="100"/>
        <v>90.398716804037562</v>
      </c>
      <c r="BN42">
        <f t="shared" si="101"/>
        <v>0</v>
      </c>
      <c r="BO42">
        <f t="shared" si="102"/>
        <v>0</v>
      </c>
    </row>
    <row r="43" spans="1:67" x14ac:dyDescent="0.25">
      <c r="B43" s="23">
        <f>B42/(2*PI())</f>
        <v>5305.1647697298449</v>
      </c>
      <c r="C43" t="s">
        <v>70</v>
      </c>
      <c r="E43" t="s">
        <v>487</v>
      </c>
      <c r="M43" s="66">
        <v>25</v>
      </c>
      <c r="N43" s="36">
        <f t="shared" si="54"/>
        <v>17.782794100389236</v>
      </c>
      <c r="O43" s="91" t="str">
        <f t="shared" si="55"/>
        <v>13,7404580152672</v>
      </c>
      <c r="P43" s="67" t="str">
        <f t="shared" si="56"/>
        <v>1+0,120671197861138i</v>
      </c>
      <c r="Q43" s="67">
        <f t="shared" si="57"/>
        <v>1.0072544554347933</v>
      </c>
      <c r="R43" s="67">
        <f t="shared" si="58"/>
        <v>0.12009054320492858</v>
      </c>
      <c r="S43" s="67" t="str">
        <f t="shared" si="59"/>
        <v>1+0,00335197771836495i</v>
      </c>
      <c r="T43" s="67">
        <f t="shared" si="60"/>
        <v>1.000005617861532</v>
      </c>
      <c r="U43" s="67">
        <f t="shared" si="61"/>
        <v>3.3519651644498649E-3</v>
      </c>
      <c r="V43" t="str">
        <f t="shared" si="62"/>
        <v>1-0,000698328691326031i</v>
      </c>
      <c r="W43" s="67">
        <f t="shared" si="63"/>
        <v>1.0000002438314508</v>
      </c>
      <c r="X43" s="67">
        <f t="shared" si="64"/>
        <v>-6.9832857780971849E-4</v>
      </c>
      <c r="Y43" t="str">
        <f t="shared" si="65"/>
        <v>0,999999979761423+0,00121171577910699i</v>
      </c>
      <c r="Z43" s="67">
        <f t="shared" si="66"/>
        <v>1.000000713888733</v>
      </c>
      <c r="AA43" s="67">
        <f t="shared" si="67"/>
        <v>1.2117152105949108E-3</v>
      </c>
      <c r="AB43" s="92" t="str">
        <f t="shared" si="68"/>
        <v>13,5456596553975-1,61475822118117i</v>
      </c>
      <c r="AC43" s="37">
        <f t="shared" si="69"/>
        <v>22.697284960088354</v>
      </c>
      <c r="AD43" s="60">
        <f t="shared" si="70"/>
        <v>-6.7980652758388089</v>
      </c>
      <c r="AE43" t="str">
        <f t="shared" si="71"/>
        <v>21,0353732052265</v>
      </c>
      <c r="AF43" t="str">
        <f t="shared" si="72"/>
        <v>1+0,0603355989305692i</v>
      </c>
      <c r="AG43">
        <f t="shared" si="73"/>
        <v>1.0018185387076397</v>
      </c>
      <c r="AH43">
        <f t="shared" si="74"/>
        <v>6.0262543507853664E-2</v>
      </c>
      <c r="AI43" t="str">
        <f t="shared" si="50"/>
        <v>1+0,00335197771836495i</v>
      </c>
      <c r="AJ43">
        <f t="shared" si="75"/>
        <v>1.000005617861532</v>
      </c>
      <c r="AK43">
        <f t="shared" si="76"/>
        <v>3.3519651644498649E-3</v>
      </c>
      <c r="AL43" t="str">
        <f t="shared" si="77"/>
        <v>1-0,000228073195532575i</v>
      </c>
      <c r="AM43">
        <f t="shared" si="78"/>
        <v>1.000000026008691</v>
      </c>
      <c r="AN43">
        <f t="shared" si="79"/>
        <v>-2.2807319157798489E-4</v>
      </c>
      <c r="AO43" s="58" t="str">
        <f t="shared" si="80"/>
        <v>20,9630405616862-1,19910511019988i</v>
      </c>
      <c r="AP43">
        <f t="shared" si="81"/>
        <v>26.443272172149012</v>
      </c>
      <c r="AQ43" s="60">
        <f t="shared" si="82"/>
        <v>-3.2738035800231624</v>
      </c>
      <c r="AR43" t="str">
        <f t="shared" si="83"/>
        <v>-1,05811623246493</v>
      </c>
      <c r="AS43" t="str">
        <f t="shared" si="51"/>
        <v>1+0,0033037092392205i</v>
      </c>
      <c r="AT43">
        <f t="shared" si="84"/>
        <v>1.0000054572324779</v>
      </c>
      <c r="AU43">
        <f t="shared" si="85"/>
        <v>3.303697219860176E-3</v>
      </c>
      <c r="AV43" t="str">
        <f t="shared" si="52"/>
        <v>1+0,0033037092392205i</v>
      </c>
      <c r="AW43">
        <f t="shared" si="86"/>
        <v>1.0000054572324779</v>
      </c>
      <c r="AX43">
        <f t="shared" si="87"/>
        <v>3.303697219860176E-3</v>
      </c>
      <c r="AY43" t="str">
        <f t="shared" si="53"/>
        <v>1-7,70483829277646i</v>
      </c>
      <c r="AZ43">
        <f t="shared" si="88"/>
        <v>7.7694615719388471</v>
      </c>
      <c r="BA43">
        <f t="shared" si="89"/>
        <v>-1.4417292374447466</v>
      </c>
      <c r="BB43" s="58" t="str">
        <f t="shared" si="90"/>
        <v>-1,03117111001781+8,15602115562753i</v>
      </c>
      <c r="BC43">
        <f t="shared" si="91"/>
        <v>18.298438597251273</v>
      </c>
      <c r="BD43" s="60">
        <f t="shared" si="92"/>
        <v>97.205711586314422</v>
      </c>
      <c r="BE43" s="58" t="str">
        <f t="shared" si="93"/>
        <v>-0,797890689602607+112,143778743698i</v>
      </c>
      <c r="BF43" s="37">
        <f t="shared" si="94"/>
        <v>40.995723557339623</v>
      </c>
      <c r="BG43" s="60">
        <f t="shared" si="95"/>
        <v>90.407646310475627</v>
      </c>
      <c r="BH43" s="58" t="str">
        <f t="shared" si="96"/>
        <v>-11,836555158731+172,211484854903i</v>
      </c>
      <c r="BI43" s="37">
        <f t="shared" si="97"/>
        <v>44.741710769400257</v>
      </c>
      <c r="BJ43" s="60">
        <f t="shared" si="98"/>
        <v>93.93190800629128</v>
      </c>
      <c r="BK43">
        <f t="shared" si="99"/>
        <v>40.995723557339623</v>
      </c>
      <c r="BL43" s="60">
        <f t="shared" si="100"/>
        <v>90.407646310475627</v>
      </c>
      <c r="BN43">
        <f t="shared" si="101"/>
        <v>0</v>
      </c>
      <c r="BO43">
        <f t="shared" si="102"/>
        <v>0</v>
      </c>
    </row>
    <row r="44" spans="1:67" x14ac:dyDescent="0.25">
      <c r="M44" s="66">
        <v>26</v>
      </c>
      <c r="N44" s="36">
        <f t="shared" si="54"/>
        <v>18.197008586099841</v>
      </c>
      <c r="O44" s="91" t="str">
        <f t="shared" si="55"/>
        <v>13,7404580152672</v>
      </c>
      <c r="P44" s="67" t="str">
        <f t="shared" si="56"/>
        <v>1+0,123481991141427i</v>
      </c>
      <c r="Q44" s="67">
        <f t="shared" si="57"/>
        <v>1.0075950586104774</v>
      </c>
      <c r="R44" s="67">
        <f t="shared" si="58"/>
        <v>0.12286006148293464</v>
      </c>
      <c r="S44" s="67" t="str">
        <f t="shared" si="59"/>
        <v>1+0,00343005530948409i</v>
      </c>
      <c r="T44" s="67">
        <f t="shared" si="60"/>
        <v>1.0000058826224103</v>
      </c>
      <c r="U44" s="67">
        <f t="shared" si="61"/>
        <v>3.4300418577259935E-3</v>
      </c>
      <c r="V44" t="str">
        <f t="shared" si="62"/>
        <v>1-0,000714594856142519i</v>
      </c>
      <c r="W44" s="67">
        <f t="shared" si="63"/>
        <v>1.0000002553228717</v>
      </c>
      <c r="X44" s="67">
        <f t="shared" si="64"/>
        <v>-7.1459473450760029E-4</v>
      </c>
      <c r="Y44" t="str">
        <f t="shared" si="65"/>
        <v>0,999999978807608+0,0012399402653962i</v>
      </c>
      <c r="Z44" s="67">
        <f t="shared" si="66"/>
        <v>1.0000007475332597</v>
      </c>
      <c r="AA44" s="67">
        <f t="shared" si="67"/>
        <v>1.2399396562245565E-3</v>
      </c>
      <c r="AB44" s="92" t="str">
        <f t="shared" si="68"/>
        <v>13,5366169721698-1,65125416671155i</v>
      </c>
      <c r="AC44" s="37">
        <f t="shared" si="69"/>
        <v>22.69435042953922</v>
      </c>
      <c r="AD44" s="60">
        <f t="shared" si="70"/>
        <v>-6.9548226431911901</v>
      </c>
      <c r="AE44" t="str">
        <f t="shared" si="71"/>
        <v>21,0353732052265</v>
      </c>
      <c r="AF44" t="str">
        <f t="shared" si="72"/>
        <v>1+0,0617409955707137i</v>
      </c>
      <c r="AG44">
        <f t="shared" si="73"/>
        <v>1.0019041623499041</v>
      </c>
      <c r="AH44">
        <f t="shared" si="74"/>
        <v>6.1662723307857485E-2</v>
      </c>
      <c r="AI44" t="str">
        <f t="shared" si="50"/>
        <v>1+0,00343005530948409i</v>
      </c>
      <c r="AJ44">
        <f t="shared" si="75"/>
        <v>1.0000058826224103</v>
      </c>
      <c r="AK44">
        <f t="shared" si="76"/>
        <v>3.4300418577259935E-3</v>
      </c>
      <c r="AL44" t="str">
        <f t="shared" si="77"/>
        <v>1-0,000233385702715563i</v>
      </c>
      <c r="AM44">
        <f t="shared" si="78"/>
        <v>1.0000000272344427</v>
      </c>
      <c r="AN44">
        <f t="shared" si="79"/>
        <v>-2.3338569847814337E-4</v>
      </c>
      <c r="AO44" s="58" t="str">
        <f t="shared" si="80"/>
        <v>20,9596445745544-1,22682618464912i</v>
      </c>
      <c r="AP44">
        <f t="shared" si="81"/>
        <v>26.44253214670578</v>
      </c>
      <c r="AQ44" s="60">
        <f t="shared" si="82"/>
        <v>-3.3498588923438137</v>
      </c>
      <c r="AR44" t="str">
        <f t="shared" si="83"/>
        <v>-1,05811623246493</v>
      </c>
      <c r="AS44" t="str">
        <f t="shared" si="51"/>
        <v>1+0,00338066251302752i</v>
      </c>
      <c r="AT44">
        <f t="shared" si="84"/>
        <v>1.0000057144231862</v>
      </c>
      <c r="AU44">
        <f t="shared" si="85"/>
        <v>3.3806496340548714E-3</v>
      </c>
      <c r="AV44" t="str">
        <f t="shared" si="52"/>
        <v>1+0,00338066251302752i</v>
      </c>
      <c r="AW44">
        <f t="shared" si="86"/>
        <v>1.0000057144231862</v>
      </c>
      <c r="AX44">
        <f t="shared" si="87"/>
        <v>3.3806496340548714E-3</v>
      </c>
      <c r="AY44" t="str">
        <f t="shared" si="53"/>
        <v>1-7,52945476114676i</v>
      </c>
      <c r="AZ44">
        <f t="shared" si="88"/>
        <v>7.5955703538414818</v>
      </c>
      <c r="BA44">
        <f t="shared" si="89"/>
        <v>-1.4387573104511562</v>
      </c>
      <c r="BB44" s="58" t="str">
        <f t="shared" si="90"/>
        <v>-1,03117057960565+7,97052434410275i</v>
      </c>
      <c r="BC44">
        <f t="shared" si="91"/>
        <v>18.101825718236576</v>
      </c>
      <c r="BD44" s="60">
        <f t="shared" si="92"/>
        <v>97.371581411511443</v>
      </c>
      <c r="BE44" s="58" t="str">
        <f t="shared" si="93"/>
        <v>-0,797199635016502+109,596659829638i</v>
      </c>
      <c r="BF44" s="37">
        <f t="shared" si="94"/>
        <v>40.796176147775789</v>
      </c>
      <c r="BG44" s="60">
        <f t="shared" si="95"/>
        <v>90.41675876832025</v>
      </c>
      <c r="BH44" s="58" t="str">
        <f t="shared" si="96"/>
        <v>-11,8345208735432+168,324424393127i</v>
      </c>
      <c r="BI44" s="37">
        <f t="shared" si="97"/>
        <v>44.544357864942363</v>
      </c>
      <c r="BJ44" s="60">
        <f t="shared" si="98"/>
        <v>94.021722519167653</v>
      </c>
      <c r="BK44">
        <f t="shared" si="99"/>
        <v>40.796176147775789</v>
      </c>
      <c r="BL44" s="60">
        <f t="shared" si="100"/>
        <v>90.41675876832025</v>
      </c>
      <c r="BN44">
        <f t="shared" si="101"/>
        <v>0</v>
      </c>
      <c r="BO44">
        <f t="shared" si="102"/>
        <v>0</v>
      </c>
    </row>
    <row r="45" spans="1:67" x14ac:dyDescent="0.25">
      <c r="M45" s="66">
        <v>27</v>
      </c>
      <c r="N45" s="36">
        <f t="shared" si="54"/>
        <v>18.62087136662868</v>
      </c>
      <c r="O45" s="91" t="str">
        <f t="shared" si="55"/>
        <v>13,7404580152672</v>
      </c>
      <c r="P45" s="67" t="str">
        <f t="shared" si="56"/>
        <v>1+0,126358256207897i</v>
      </c>
      <c r="Q45" s="67">
        <f t="shared" si="57"/>
        <v>1.0079515905597354</v>
      </c>
      <c r="R45" s="67">
        <f t="shared" si="58"/>
        <v>0.12569213017931324</v>
      </c>
      <c r="S45" s="67" t="str">
        <f t="shared" si="59"/>
        <v>1+0,00350995156133046i</v>
      </c>
      <c r="T45" s="67">
        <f t="shared" si="60"/>
        <v>1.0000061598610095</v>
      </c>
      <c r="U45" s="67">
        <f t="shared" si="61"/>
        <v>3.5099371475167656E-3</v>
      </c>
      <c r="V45" t="str">
        <f t="shared" si="62"/>
        <v>1-0,000731239908610513i</v>
      </c>
      <c r="W45" s="67">
        <f t="shared" si="63"/>
        <v>1.0000002673558663</v>
      </c>
      <c r="X45" s="67">
        <f t="shared" si="64"/>
        <v>-7.312397782763512E-4</v>
      </c>
      <c r="Y45" t="str">
        <f t="shared" si="65"/>
        <v>0,999999977808842+0,00126882218442667i</v>
      </c>
      <c r="Z45" s="67">
        <f t="shared" si="66"/>
        <v>1.0000007827634039</v>
      </c>
      <c r="AA45" s="67">
        <f t="shared" si="67"/>
        <v>1.2688215316875207E-3</v>
      </c>
      <c r="AB45" s="92" t="str">
        <f t="shared" si="68"/>
        <v>13,5271612138312-1,68852200764942i</v>
      </c>
      <c r="AC45" s="37">
        <f t="shared" si="69"/>
        <v>22.691279725635376</v>
      </c>
      <c r="AD45" s="60">
        <f t="shared" si="70"/>
        <v>-7.1151190642030242</v>
      </c>
      <c r="AE45" t="str">
        <f t="shared" si="71"/>
        <v>21,0353732052265</v>
      </c>
      <c r="AF45" t="str">
        <f t="shared" si="72"/>
        <v>1+0,0631791281039484i</v>
      </c>
      <c r="AG45">
        <f t="shared" si="73"/>
        <v>1.0019938134679152</v>
      </c>
      <c r="AH45">
        <f t="shared" si="74"/>
        <v>6.309526687408247E-2</v>
      </c>
      <c r="AI45" t="str">
        <f t="shared" si="50"/>
        <v>1+0,00350995156133046i</v>
      </c>
      <c r="AJ45">
        <f t="shared" si="75"/>
        <v>1.0000061598610095</v>
      </c>
      <c r="AK45">
        <f t="shared" si="76"/>
        <v>3.5099371475167656E-3</v>
      </c>
      <c r="AL45" t="str">
        <f t="shared" si="77"/>
        <v>1-0,000238821954087354i</v>
      </c>
      <c r="AM45">
        <f t="shared" si="78"/>
        <v>1.0000000285179624</v>
      </c>
      <c r="AN45">
        <f t="shared" si="79"/>
        <v>-2.3882194954687706E-4</v>
      </c>
      <c r="AO45" s="58" t="str">
        <f t="shared" si="80"/>
        <v>20,956089783457-1,25517804889585i</v>
      </c>
      <c r="AP45">
        <f t="shared" si="81"/>
        <v>26.441757380910325</v>
      </c>
      <c r="AQ45" s="60">
        <f t="shared" si="82"/>
        <v>-3.4276714039917411</v>
      </c>
      <c r="AR45" t="str">
        <f t="shared" si="83"/>
        <v>-1,05811623246493</v>
      </c>
      <c r="AS45" t="str">
        <f t="shared" si="51"/>
        <v>1+0,0034594082588473i</v>
      </c>
      <c r="AT45">
        <f t="shared" si="84"/>
        <v>1.0000059837348483</v>
      </c>
      <c r="AU45">
        <f t="shared" si="85"/>
        <v>3.4593944587839351E-3</v>
      </c>
      <c r="AV45" t="str">
        <f t="shared" si="52"/>
        <v>1+0,0034594082588473i</v>
      </c>
      <c r="AW45">
        <f t="shared" si="86"/>
        <v>1.0000059837348483</v>
      </c>
      <c r="AX45">
        <f t="shared" si="87"/>
        <v>3.4593944587839351E-3</v>
      </c>
      <c r="AY45" t="str">
        <f t="shared" si="53"/>
        <v>1-7,35806344609557i</v>
      </c>
      <c r="AZ45">
        <f t="shared" si="88"/>
        <v>7.4257051972703438</v>
      </c>
      <c r="BA45">
        <f t="shared" si="89"/>
        <v>-1.4357185855477033</v>
      </c>
      <c r="BB45" s="58" t="str">
        <f t="shared" si="90"/>
        <v>-1,03117002419652+7,78925360991854i</v>
      </c>
      <c r="BC45">
        <f t="shared" si="91"/>
        <v>17.90536963652006</v>
      </c>
      <c r="BD45" s="60">
        <f t="shared" si="92"/>
        <v>97.541175777465099</v>
      </c>
      <c r="BE45" s="58" t="str">
        <f t="shared" si="93"/>
        <v>-0,796477012666399+107,107642596269i</v>
      </c>
      <c r="BF45" s="37">
        <f t="shared" si="94"/>
        <v>40.596649362155439</v>
      </c>
      <c r="BG45" s="60">
        <f t="shared" si="95"/>
        <v>90.426056713262071</v>
      </c>
      <c r="BH45" s="58" t="str">
        <f t="shared" si="96"/>
        <v>-11,8323914606193+164,52659997462i</v>
      </c>
      <c r="BI45" s="37">
        <f t="shared" si="97"/>
        <v>44.347127017430374</v>
      </c>
      <c r="BJ45" s="60">
        <f t="shared" si="98"/>
        <v>94.113504373473376</v>
      </c>
      <c r="BK45">
        <f t="shared" si="99"/>
        <v>40.596649362155439</v>
      </c>
      <c r="BL45" s="60">
        <f t="shared" si="100"/>
        <v>90.426056713262071</v>
      </c>
      <c r="BN45">
        <f t="shared" si="101"/>
        <v>0</v>
      </c>
      <c r="BO45">
        <f t="shared" si="102"/>
        <v>0</v>
      </c>
    </row>
    <row r="46" spans="1:67" x14ac:dyDescent="0.25">
      <c r="A46" t="s">
        <v>480</v>
      </c>
      <c r="B46" s="23">
        <f>(Rcs*Vin_vari*ACS)/Lm</f>
        <v>78599.999999999985</v>
      </c>
      <c r="C46" t="s">
        <v>118</v>
      </c>
      <c r="E46" t="s">
        <v>488</v>
      </c>
      <c r="J46">
        <f>(0.5-(1-(Vin_vari/VOUT)))</f>
        <v>0.16666666666666663</v>
      </c>
      <c r="M46" s="66">
        <v>28</v>
      </c>
      <c r="N46" s="36">
        <f t="shared" si="54"/>
        <v>19.054607179632477</v>
      </c>
      <c r="O46" s="91" t="str">
        <f t="shared" si="55"/>
        <v>13,7404580152672</v>
      </c>
      <c r="P46" s="67" t="str">
        <f t="shared" si="56"/>
        <v>1+0,129301518094357i</v>
      </c>
      <c r="Q46" s="67">
        <f t="shared" si="57"/>
        <v>1.0083247902246106</v>
      </c>
      <c r="R46" s="67">
        <f t="shared" si="58"/>
        <v>0.12858806907785034</v>
      </c>
      <c r="S46" s="67" t="str">
        <f t="shared" si="59"/>
        <v>1+0,00359170883595435i</v>
      </c>
      <c r="T46" s="67">
        <f t="shared" si="60"/>
        <v>1.0000064501653789</v>
      </c>
      <c r="U46" s="67">
        <f t="shared" si="61"/>
        <v>3.5916933912800947E-3</v>
      </c>
      <c r="V46" t="str">
        <f t="shared" si="62"/>
        <v>1-0,000748272674157156i</v>
      </c>
      <c r="W46" s="67">
        <f t="shared" si="63"/>
        <v>1.0000002799559584</v>
      </c>
      <c r="X46" s="67">
        <f t="shared" si="64"/>
        <v>-7.4827253450158765E-4</v>
      </c>
      <c r="Y46" t="str">
        <f t="shared" si="65"/>
        <v>0,999999976763004+0,00129837684977417i</v>
      </c>
      <c r="Z46" s="67">
        <f>IMABS(Y46)</f>
        <v>1.0000008196538903</v>
      </c>
      <c r="AA46" s="67">
        <f t="shared" si="67"/>
        <v>1.2983761503516024E-3</v>
      </c>
      <c r="AB46" s="92" t="str">
        <f t="shared" si="68"/>
        <v>13,5172741455182-1,72657432856228i</v>
      </c>
      <c r="AC46" s="37">
        <f t="shared" si="69"/>
        <v>22.688066632615115</v>
      </c>
      <c r="AD46" s="60">
        <f t="shared" si="70"/>
        <v>-7.2790291130601874</v>
      </c>
      <c r="AE46" t="str">
        <f t="shared" si="71"/>
        <v>21,0353732052265</v>
      </c>
      <c r="AF46" t="str">
        <f t="shared" si="72"/>
        <v>1+0,0646507590471784i</v>
      </c>
      <c r="AG46">
        <f t="shared" si="73"/>
        <v>1.0020876811164663</v>
      </c>
      <c r="AH46">
        <f t="shared" si="74"/>
        <v>6.4560910228109086E-2</v>
      </c>
      <c r="AI46" t="str">
        <f t="shared" si="50"/>
        <v>1+0,00359170883595435i</v>
      </c>
      <c r="AJ46">
        <f t="shared" si="75"/>
        <v>1.0000064501653789</v>
      </c>
      <c r="AK46">
        <f t="shared" si="76"/>
        <v>3.5916933912800947E-3</v>
      </c>
      <c r="AL46" t="str">
        <f t="shared" si="77"/>
        <v>1-0,000244384832020386i</v>
      </c>
      <c r="AM46">
        <f t="shared" si="78"/>
        <v>1.0000000298619725</v>
      </c>
      <c r="AN46">
        <f t="shared" si="79"/>
        <v>-2.4438482715517736E-4</v>
      </c>
      <c r="AO46" s="58" t="str">
        <f t="shared" si="80"/>
        <v>20,9523688234778-1,28417433861271i</v>
      </c>
      <c r="AP46">
        <f t="shared" si="81"/>
        <v>26.44094625056529</v>
      </c>
      <c r="AQ46" s="60">
        <f t="shared" si="82"/>
        <v>-3.50728102414128</v>
      </c>
      <c r="AR46" t="str">
        <f t="shared" si="83"/>
        <v>-1,05811623246493</v>
      </c>
      <c r="AS46" t="str">
        <f t="shared" si="51"/>
        <v>1+0,00353998822871661i</v>
      </c>
      <c r="AT46">
        <f t="shared" si="84"/>
        <v>1.0000062657387001</v>
      </c>
      <c r="AU46">
        <f t="shared" si="85"/>
        <v>3.5399734416873044E-3</v>
      </c>
      <c r="AV46" t="str">
        <f t="shared" si="52"/>
        <v>1+0,00353998822871661i</v>
      </c>
      <c r="AW46">
        <f t="shared" si="86"/>
        <v>1.0000062657387001</v>
      </c>
      <c r="AX46">
        <f t="shared" si="87"/>
        <v>3.5399734416873044E-3</v>
      </c>
      <c r="AY46" t="str">
        <f t="shared" si="53"/>
        <v>1-7,19057347367897i</v>
      </c>
      <c r="AZ46">
        <f t="shared" si="88"/>
        <v>7.2597759524916237</v>
      </c>
      <c r="BA46">
        <f t="shared" si="89"/>
        <v>-1.432611676153825</v>
      </c>
      <c r="BB46" s="58" t="str">
        <f t="shared" si="90"/>
        <v>-1,03116944261241+7,61211284092012i</v>
      </c>
      <c r="BC46">
        <f t="shared" si="91"/>
        <v>17.709077473499562</v>
      </c>
      <c r="BD46" s="60">
        <f t="shared" si="92"/>
        <v>97.714571737426056</v>
      </c>
      <c r="BE46" s="58" t="str">
        <f t="shared" si="93"/>
        <v>-0,795721429021178+104,675406785349i</v>
      </c>
      <c r="BF46" s="37">
        <f t="shared" si="94"/>
        <v>40.397144106114673</v>
      </c>
      <c r="BG46" s="60">
        <f t="shared" si="95"/>
        <v>90.43554262436588</v>
      </c>
      <c r="BH46" s="58" t="str">
        <f t="shared" si="96"/>
        <v>-11,8301625081813+160,815997105854i</v>
      </c>
      <c r="BI46" s="37">
        <f t="shared" si="97"/>
        <v>44.150023724064845</v>
      </c>
      <c r="BJ46" s="60">
        <f t="shared" si="98"/>
        <v>94.207290713284763</v>
      </c>
      <c r="BK46">
        <f t="shared" si="99"/>
        <v>40.397144106114673</v>
      </c>
      <c r="BL46" s="60">
        <f t="shared" si="100"/>
        <v>90.43554262436588</v>
      </c>
      <c r="BN46">
        <f t="shared" si="101"/>
        <v>0</v>
      </c>
      <c r="BO46">
        <f t="shared" si="102"/>
        <v>0</v>
      </c>
    </row>
    <row r="47" spans="1:67" x14ac:dyDescent="0.25">
      <c r="A47" t="s">
        <v>479</v>
      </c>
      <c r="B47" s="23">
        <f>(B26*(B25+B24)*fsw)</f>
        <v>300000</v>
      </c>
      <c r="C47" t="s">
        <v>118</v>
      </c>
      <c r="J47">
        <f>Lm*fsw</f>
        <v>2.5</v>
      </c>
      <c r="M47" s="66">
        <v>29</v>
      </c>
      <c r="N47" s="36">
        <f t="shared" si="54"/>
        <v>19.498445997580465</v>
      </c>
      <c r="O47" s="91" t="str">
        <f t="shared" si="55"/>
        <v>13,7404580152672</v>
      </c>
      <c r="P47" s="67" t="str">
        <f t="shared" si="56"/>
        <v>1+0,132313337357219i</v>
      </c>
      <c r="Q47" s="67">
        <f t="shared" si="57"/>
        <v>1.0087154302590029</v>
      </c>
      <c r="R47" s="67">
        <f t="shared" si="58"/>
        <v>0.13154921924676116</v>
      </c>
      <c r="S47" s="67" t="str">
        <f t="shared" si="59"/>
        <v>1+0,00367537048214496i</v>
      </c>
      <c r="T47" s="67">
        <f t="shared" si="60"/>
        <v>1.0000067541512812</v>
      </c>
      <c r="U47" s="67">
        <f t="shared" si="61"/>
        <v>3.6753539328843693E-3</v>
      </c>
      <c r="V47" t="str">
        <f t="shared" si="62"/>
        <v>1-0,0007657021837802i</v>
      </c>
      <c r="W47" s="67">
        <f t="shared" si="63"/>
        <v>1.0000002931498742</v>
      </c>
      <c r="X47" s="67">
        <f t="shared" si="64"/>
        <v>-7.6570203413656483E-4</v>
      </c>
      <c r="Y47" t="str">
        <f t="shared" si="65"/>
        <v>0,999999975667879+0,00132861993171347i</v>
      </c>
      <c r="Z47" s="67">
        <f t="shared" si="66"/>
        <v>1.0000008582829725</v>
      </c>
      <c r="AA47" s="67">
        <f t="shared" si="67"/>
        <v>1.3286191822687197E-3</v>
      </c>
      <c r="AB47" s="92" t="str">
        <f t="shared" si="68"/>
        <v>13,5069367875076-1,76542364476626i</v>
      </c>
      <c r="AC47" s="37">
        <f t="shared" si="69"/>
        <v>22.68470466077418</v>
      </c>
      <c r="AD47" s="60">
        <f t="shared" si="70"/>
        <v>-7.4466285591541457</v>
      </c>
      <c r="AE47" t="str">
        <f t="shared" si="71"/>
        <v>21,0353732052265</v>
      </c>
      <c r="AF47" t="str">
        <f t="shared" si="72"/>
        <v>1+0,0661566686786094i</v>
      </c>
      <c r="AG47">
        <f t="shared" si="73"/>
        <v>1.0021859631877965</v>
      </c>
      <c r="AH47">
        <f t="shared" si="74"/>
        <v>6.6060405272334491E-2</v>
      </c>
      <c r="AI47" t="str">
        <f t="shared" si="50"/>
        <v>1+0,00367537048214496i</v>
      </c>
      <c r="AJ47">
        <f t="shared" si="75"/>
        <v>1.0000067541512812</v>
      </c>
      <c r="AK47">
        <f t="shared" si="76"/>
        <v>3.6753539328843693E-3</v>
      </c>
      <c r="AL47" t="str">
        <f t="shared" si="77"/>
        <v>1-0,00025007728602617i</v>
      </c>
      <c r="AM47">
        <f t="shared" si="78"/>
        <v>1.000000031269324</v>
      </c>
      <c r="AN47">
        <f t="shared" si="79"/>
        <v>-2.5007728081300498E-4</v>
      </c>
      <c r="AO47" s="58" t="str">
        <f t="shared" si="80"/>
        <v>20,948473994003-1,31382893262604i</v>
      </c>
      <c r="AP47">
        <f t="shared" si="81"/>
        <v>26.440097056179784</v>
      </c>
      <c r="AQ47" s="60">
        <f t="shared" si="82"/>
        <v>-3.5887285192001479</v>
      </c>
      <c r="AR47" t="str">
        <f t="shared" si="83"/>
        <v>-1,05811623246493</v>
      </c>
      <c r="AS47" t="str">
        <f t="shared" si="51"/>
        <v>1+0,00362244514720207i</v>
      </c>
      <c r="AT47">
        <f t="shared" si="84"/>
        <v>1.0000065610328985</v>
      </c>
      <c r="AU47">
        <f t="shared" si="85"/>
        <v>3.6224293026203172E-3</v>
      </c>
      <c r="AV47" t="str">
        <f t="shared" si="52"/>
        <v>1+0,00362244514720207i</v>
      </c>
      <c r="AW47">
        <f t="shared" si="86"/>
        <v>1.0000065610328985</v>
      </c>
      <c r="AX47">
        <f t="shared" si="87"/>
        <v>3.6224293026203172E-3</v>
      </c>
      <c r="AY47" t="str">
        <f t="shared" si="53"/>
        <v>1-7,02689603849659i</v>
      </c>
      <c r="AZ47">
        <f t="shared" si="88"/>
        <v>7.0976945507565397</v>
      </c>
      <c r="BA47">
        <f t="shared" si="89"/>
        <v>-1.42943517499642</v>
      </c>
      <c r="BB47" s="58" t="str">
        <f t="shared" si="90"/>
        <v>-1,03116883361979+7,43900811471404i</v>
      </c>
      <c r="BC47">
        <f t="shared" si="91"/>
        <v>17.512956661052403</v>
      </c>
      <c r="BD47" s="60">
        <f t="shared" si="92"/>
        <v>97.891847474536235</v>
      </c>
      <c r="BE47" s="58" t="str">
        <f t="shared" si="93"/>
        <v>-0,7949314336262+102,298662207817i</v>
      </c>
      <c r="BF47" s="37">
        <f t="shared" si="94"/>
        <v>40.197661321826587</v>
      </c>
      <c r="BG47" s="60">
        <f t="shared" si="95"/>
        <v>90.445218915382085</v>
      </c>
      <c r="BH47" s="58" t="str">
        <f t="shared" si="96"/>
        <v>-11,8278294033594+157,190647480296i</v>
      </c>
      <c r="BI47" s="37">
        <f t="shared" si="97"/>
        <v>43.953053717232173</v>
      </c>
      <c r="BJ47" s="60">
        <f t="shared" si="98"/>
        <v>94.303118955336103</v>
      </c>
      <c r="BK47">
        <f t="shared" si="99"/>
        <v>40.197661321826587</v>
      </c>
      <c r="BL47" s="60">
        <f t="shared" si="100"/>
        <v>90.445218915382085</v>
      </c>
      <c r="BN47">
        <f t="shared" si="101"/>
        <v>0</v>
      </c>
      <c r="BO47">
        <f t="shared" si="102"/>
        <v>0</v>
      </c>
    </row>
    <row r="48" spans="1:67" x14ac:dyDescent="0.25">
      <c r="A48" t="s">
        <v>481</v>
      </c>
      <c r="B48" s="23">
        <f>2*PI()*fsw</f>
        <v>1570796.3267948965</v>
      </c>
      <c r="C48" t="s">
        <v>489</v>
      </c>
      <c r="M48" s="66">
        <v>30</v>
      </c>
      <c r="N48" s="36">
        <f t="shared" si="54"/>
        <v>19.952623149688804</v>
      </c>
      <c r="O48" s="91" t="str">
        <f t="shared" si="55"/>
        <v>13,7404580152672</v>
      </c>
      <c r="P48" s="67" t="str">
        <f t="shared" si="56"/>
        <v>1+0,135395310902921i</v>
      </c>
      <c r="Q48" s="67">
        <f t="shared" si="57"/>
        <v>1.0091243185130852</v>
      </c>
      <c r="R48" s="67">
        <f t="shared" si="58"/>
        <v>0.13457694290020278</v>
      </c>
      <c r="S48" s="67" t="str">
        <f t="shared" si="59"/>
        <v>1+0,00376098085841448i</v>
      </c>
      <c r="T48" s="67">
        <f t="shared" si="60"/>
        <v>1.0000070724634988</v>
      </c>
      <c r="U48" s="67">
        <f t="shared" si="61"/>
        <v>3.760963125569043E-3</v>
      </c>
      <c r="V48" t="str">
        <f t="shared" si="62"/>
        <v>1-0,00078353767883635i</v>
      </c>
      <c r="W48" s="67">
        <f t="shared" si="63"/>
        <v>1.0000003069656</v>
      </c>
      <c r="X48" s="67">
        <f t="shared" si="64"/>
        <v>-7.8353751849030869E-4</v>
      </c>
      <c r="Y48" t="str">
        <f t="shared" si="65"/>
        <v>0,999999974521141+0,00135956746552693i</v>
      </c>
      <c r="Z48" s="67">
        <f t="shared" si="66"/>
        <v>1.0000008987325841</v>
      </c>
      <c r="AA48" s="67">
        <f t="shared" si="67"/>
        <v>1.3595666624824517E-3</v>
      </c>
      <c r="AB48" s="92" t="str">
        <f t="shared" si="68"/>
        <v>13,4961293905281-1,80508237754498i</v>
      </c>
      <c r="AC48" s="37">
        <f t="shared" si="69"/>
        <v>22.681187035318704</v>
      </c>
      <c r="AD48" s="60">
        <f t="shared" si="70"/>
        <v>-7.6179943585818073</v>
      </c>
      <c r="AE48" t="str">
        <f t="shared" si="71"/>
        <v>21,0353732052265</v>
      </c>
      <c r="AF48" t="str">
        <f t="shared" si="72"/>
        <v>1+0,0676976554514607i</v>
      </c>
      <c r="AG48">
        <f t="shared" si="73"/>
        <v>1.0022888668211498</v>
      </c>
      <c r="AH48">
        <f t="shared" si="74"/>
        <v>6.759452007094495E-2</v>
      </c>
      <c r="AI48" t="str">
        <f t="shared" si="50"/>
        <v>1+0,00376098085841448i</v>
      </c>
      <c r="AJ48">
        <f t="shared" si="75"/>
        <v>1.0000070724634988</v>
      </c>
      <c r="AK48">
        <f t="shared" si="76"/>
        <v>3.760963125569043E-3</v>
      </c>
      <c r="AL48" t="str">
        <f t="shared" si="77"/>
        <v>1-0,00025590233431917i</v>
      </c>
      <c r="AM48">
        <f t="shared" si="78"/>
        <v>1.0000000327430019</v>
      </c>
      <c r="AN48">
        <f t="shared" si="79"/>
        <v>-2.559023287331631E-4</v>
      </c>
      <c r="AO48" s="58" t="str">
        <f t="shared" si="80"/>
        <v>20,9443972439847-1,34415595339383i</v>
      </c>
      <c r="AP48">
        <f t="shared" si="81"/>
        <v>26.439208019540782</v>
      </c>
      <c r="AQ48" s="60">
        <f t="shared" si="82"/>
        <v>-3.6720555276820224</v>
      </c>
      <c r="AR48" t="str">
        <f t="shared" si="83"/>
        <v>-1,05811623246493</v>
      </c>
      <c r="AS48" t="str">
        <f t="shared" si="51"/>
        <v>1+0,00370682273405331i</v>
      </c>
      <c r="AT48">
        <f t="shared" si="84"/>
        <v>1.0000068702437908</v>
      </c>
      <c r="AU48">
        <f t="shared" si="85"/>
        <v>3.7068057562843777E-3</v>
      </c>
      <c r="AV48" t="str">
        <f t="shared" si="52"/>
        <v>1+0,00370682273405331i</v>
      </c>
      <c r="AW48">
        <f t="shared" si="86"/>
        <v>1.0000068702437908</v>
      </c>
      <c r="AX48">
        <f t="shared" si="87"/>
        <v>3.7068057562843777E-3</v>
      </c>
      <c r="AY48" t="str">
        <f t="shared" si="53"/>
        <v>1-6,86694435660579i</v>
      </c>
      <c r="AZ48">
        <f t="shared" si="88"/>
        <v>6.9393749572076091</v>
      </c>
      <c r="BA48">
        <f t="shared" si="89"/>
        <v>-1.42618765439812</v>
      </c>
      <c r="BB48" s="58" t="str">
        <f t="shared" si="90"/>
        <v>-1,031168195927+7,26984764886932i</v>
      </c>
      <c r="BC48">
        <f t="shared" si="91"/>
        <v>17.317014953848606</v>
      </c>
      <c r="BD48" s="60">
        <f t="shared" si="92"/>
        <v>98.073082284015399</v>
      </c>
      <c r="BE48" s="58" t="str">
        <f t="shared" si="93"/>
        <v>-0,794105517217409+99,9761480573195i</v>
      </c>
      <c r="BF48" s="37">
        <f t="shared" si="94"/>
        <v>39.998201989167313</v>
      </c>
      <c r="BG48" s="60">
        <f t="shared" si="95"/>
        <v>90.455087925433588</v>
      </c>
      <c r="BH48" s="58" t="str">
        <f t="shared" si="96"/>
        <v>-11,8253873233643+153,648627930673i</v>
      </c>
      <c r="BI48" s="37">
        <f t="shared" si="97"/>
        <v>43.756222973389399</v>
      </c>
      <c r="BJ48" s="60">
        <f t="shared" si="98"/>
        <v>94.40102675633338</v>
      </c>
      <c r="BK48">
        <f t="shared" si="99"/>
        <v>39.998201989167313</v>
      </c>
      <c r="BL48" s="60">
        <f t="shared" si="100"/>
        <v>90.455087925433588</v>
      </c>
      <c r="BN48">
        <f t="shared" si="101"/>
        <v>0</v>
      </c>
      <c r="BO48">
        <f t="shared" si="102"/>
        <v>0</v>
      </c>
    </row>
    <row r="49" spans="1:67" x14ac:dyDescent="0.25">
      <c r="A49" t="s">
        <v>482</v>
      </c>
      <c r="B49" s="23">
        <f>1/(PI()*(((Vin_vari/VOUT)*(1+(Se/B46)))-0.5))</f>
        <v>0.11740571118745163</v>
      </c>
      <c r="M49" s="66">
        <v>31</v>
      </c>
      <c r="N49" s="36">
        <f t="shared" si="54"/>
        <v>20.4173794466953</v>
      </c>
      <c r="O49" s="91" t="str">
        <f t="shared" si="55"/>
        <v>13,7404580152672</v>
      </c>
      <c r="P49" s="67" t="str">
        <f t="shared" si="56"/>
        <v>1+0,138549072834633i</v>
      </c>
      <c r="Q49" s="67">
        <f t="shared" si="57"/>
        <v>1.0095522995780539</v>
      </c>
      <c r="R49" s="67">
        <f t="shared" si="58"/>
        <v>0.13767262321613721</v>
      </c>
      <c r="S49" s="67" t="str">
        <f t="shared" si="59"/>
        <v>1+0,00384858535651758i</v>
      </c>
      <c r="T49" s="67">
        <f t="shared" si="60"/>
        <v>1.0000074057772004</v>
      </c>
      <c r="U49" s="67">
        <f t="shared" si="61"/>
        <v>3.8485663554389577E-3</v>
      </c>
      <c r="V49" t="str">
        <f t="shared" si="62"/>
        <v>1-0,000801788615941162i</v>
      </c>
      <c r="W49" s="67">
        <f t="shared" si="63"/>
        <v>1.0000003214324407</v>
      </c>
      <c r="X49" s="67">
        <f t="shared" si="64"/>
        <v>-8.0178844412728616E-4</v>
      </c>
      <c r="Y49" t="str">
        <f t="shared" si="65"/>
        <v>0,99999997332036+0,00139123586000661i</v>
      </c>
      <c r="Z49" s="67">
        <f t="shared" si="66"/>
        <v>1.0000009410885267</v>
      </c>
      <c r="AA49" s="67">
        <f t="shared" si="67"/>
        <v>1.3912349995289913E-3</v>
      </c>
      <c r="AB49" s="92" t="str">
        <f t="shared" si="68"/>
        <v>13,4848314108225-1,84556282745034i</v>
      </c>
      <c r="AC49" s="37">
        <f t="shared" si="69"/>
        <v>22.677506684852492</v>
      </c>
      <c r="AD49" s="60">
        <f t="shared" si="70"/>
        <v>-7.7932046431315172</v>
      </c>
      <c r="AE49" t="str">
        <f t="shared" si="71"/>
        <v>21,0353732052265</v>
      </c>
      <c r="AF49" t="str">
        <f t="shared" si="72"/>
        <v>1+0,0692745364173165i</v>
      </c>
      <c r="AG49">
        <f t="shared" si="73"/>
        <v>1.0023966088309728</v>
      </c>
      <c r="AH49">
        <f t="shared" si="74"/>
        <v>6.9164039131244776E-2</v>
      </c>
      <c r="AI49" t="str">
        <f t="shared" si="50"/>
        <v>1+0,00384858535651758i</v>
      </c>
      <c r="AJ49">
        <f t="shared" si="75"/>
        <v>1.0000074057772004</v>
      </c>
      <c r="AK49">
        <f t="shared" si="76"/>
        <v>3.8485663554389577E-3</v>
      </c>
      <c r="AL49" t="str">
        <f t="shared" si="77"/>
        <v>1-0,000261863065417093i</v>
      </c>
      <c r="AM49">
        <f t="shared" si="78"/>
        <v>1.0000000342861319</v>
      </c>
      <c r="AN49">
        <f t="shared" si="79"/>
        <v>-2.6186305943157873E-4</v>
      </c>
      <c r="AO49" s="58" t="str">
        <f t="shared" si="80"/>
        <v>20,9401301566114-1,37516976714072i</v>
      </c>
      <c r="AP49">
        <f t="shared" si="81"/>
        <v>26.438277280133985</v>
      </c>
      <c r="AQ49" s="60">
        <f t="shared" si="82"/>
        <v>-3.7573045750711138</v>
      </c>
      <c r="AR49" t="str">
        <f t="shared" si="83"/>
        <v>-1,05811623246493</v>
      </c>
      <c r="AS49" t="str">
        <f t="shared" si="51"/>
        <v>1+0,00379316572738373i</v>
      </c>
      <c r="AT49">
        <f t="shared" si="84"/>
        <v>1.0000071940272406</v>
      </c>
      <c r="AU49">
        <f t="shared" si="85"/>
        <v>3.7931475353836274E-3</v>
      </c>
      <c r="AV49" t="str">
        <f t="shared" si="52"/>
        <v>1+0,00379316572738373i</v>
      </c>
      <c r="AW49">
        <f t="shared" si="86"/>
        <v>1.0000071940272406</v>
      </c>
      <c r="AX49">
        <f t="shared" si="87"/>
        <v>3.7931475353836274E-3</v>
      </c>
      <c r="AY49" t="str">
        <f t="shared" si="53"/>
        <v>1-6,71063361950765i</v>
      </c>
      <c r="AZ49">
        <f t="shared" si="88"/>
        <v>6.7847331248374347</v>
      </c>
      <c r="BA49">
        <f t="shared" si="89"/>
        <v>-1.4228676666204199</v>
      </c>
      <c r="BB49" s="58" t="str">
        <f t="shared" si="90"/>
        <v>-1,03116752818152+7,10454175225302i</v>
      </c>
      <c r="BC49">
        <f t="shared" si="91"/>
        <v>17.121260442035606</v>
      </c>
      <c r="BD49" s="60">
        <f t="shared" si="92"/>
        <v>98.258356552174575</v>
      </c>
      <c r="BE49" s="58" t="str">
        <f t="shared" si="93"/>
        <v>-0,793242109815278+97,7066322391671i</v>
      </c>
      <c r="BF49" s="37">
        <f t="shared" si="94"/>
        <v>39.798767126888094</v>
      </c>
      <c r="BG49" s="60">
        <f t="shared" si="95"/>
        <v>90.465151909043072</v>
      </c>
      <c r="BH49" s="58" t="str">
        <f t="shared" si="96"/>
        <v>-11,822831226305+150,188059404871i</v>
      </c>
      <c r="BI49" s="37">
        <f t="shared" si="97"/>
        <v>43.559537722169608</v>
      </c>
      <c r="BJ49" s="60">
        <f t="shared" si="98"/>
        <v>94.501051977103472</v>
      </c>
      <c r="BK49">
        <f t="shared" si="99"/>
        <v>39.798767126888094</v>
      </c>
      <c r="BL49" s="60">
        <f t="shared" si="100"/>
        <v>90.465151909043072</v>
      </c>
      <c r="BN49">
        <f t="shared" si="101"/>
        <v>0</v>
      </c>
      <c r="BO49">
        <f t="shared" si="102"/>
        <v>0</v>
      </c>
    </row>
    <row r="50" spans="1:67" x14ac:dyDescent="0.25">
      <c r="M50" s="66">
        <v>32</v>
      </c>
      <c r="N50" s="36">
        <f t="shared" si="54"/>
        <v>20.8929613085404</v>
      </c>
      <c r="O50" s="91" t="str">
        <f t="shared" si="55"/>
        <v>13,7404580152672</v>
      </c>
      <c r="P50" s="67" t="str">
        <f t="shared" si="56"/>
        <v>1+0,141776295318676i</v>
      </c>
      <c r="Q50" s="67">
        <f t="shared" si="57"/>
        <v>1.0100002563931796</v>
      </c>
      <c r="R50" s="67">
        <f t="shared" si="58"/>
        <v>0.14083766410718196</v>
      </c>
      <c r="S50" s="67" t="str">
        <f t="shared" si="59"/>
        <v>1+0,00393823042551879i</v>
      </c>
      <c r="T50" s="67">
        <f t="shared" si="60"/>
        <v>1.0000077547993738</v>
      </c>
      <c r="U50" s="67">
        <f t="shared" si="61"/>
        <v>3.9382100655047537E-3</v>
      </c>
      <c r="V50" t="str">
        <f t="shared" si="62"/>
        <v>1-0,000820464671983081i</v>
      </c>
      <c r="W50" s="67">
        <f t="shared" si="63"/>
        <v>1.0000003365810823</v>
      </c>
      <c r="X50" s="67">
        <f t="shared" si="64"/>
        <v>-8.2046448788119944E-4</v>
      </c>
      <c r="Y50" t="str">
        <f t="shared" si="65"/>
        <v>0,999999972062987+0,00142364190615446i</v>
      </c>
      <c r="Z50" s="67">
        <f t="shared" si="66"/>
        <v>1.0000009854406404</v>
      </c>
      <c r="AA50" s="67">
        <f t="shared" si="67"/>
        <v>1.4236409841361295E-3</v>
      </c>
      <c r="AB50" s="92" t="str">
        <f t="shared" si="68"/>
        <v>13,4730214850263-1,88687714557988i</v>
      </c>
      <c r="AC50" s="37">
        <f t="shared" si="69"/>
        <v>22.673656229496562</v>
      </c>
      <c r="AD50" s="60">
        <f t="shared" si="70"/>
        <v>-7.9723387065620379</v>
      </c>
      <c r="AE50" t="str">
        <f t="shared" si="71"/>
        <v>21,0353732052265</v>
      </c>
      <c r="AF50" t="str">
        <f t="shared" si="72"/>
        <v>1+0,0708881476593383i</v>
      </c>
      <c r="AG50">
        <f t="shared" si="73"/>
        <v>1.0025094161545676</v>
      </c>
      <c r="AH50">
        <f t="shared" si="74"/>
        <v>7.0769763684925754E-2</v>
      </c>
      <c r="AI50" t="str">
        <f t="shared" si="50"/>
        <v>1+0,00393823042551879i</v>
      </c>
      <c r="AJ50">
        <f t="shared" si="75"/>
        <v>1.0000077547993738</v>
      </c>
      <c r="AK50">
        <f t="shared" si="76"/>
        <v>3.9382100655047537E-3</v>
      </c>
      <c r="AL50" t="str">
        <f t="shared" si="77"/>
        <v>1-0,000267962639778469i</v>
      </c>
      <c r="AM50">
        <f t="shared" si="78"/>
        <v>1.0000000359019876</v>
      </c>
      <c r="AN50">
        <f t="shared" si="79"/>
        <v>-2.6796263336487493E-4</v>
      </c>
      <c r="AO50" s="58" t="str">
        <f t="shared" si="80"/>
        <v>20,9356639333683-1,40688498361873i</v>
      </c>
      <c r="AP50">
        <f t="shared" si="81"/>
        <v>26.437302891408642</v>
      </c>
      <c r="AQ50" s="60">
        <f t="shared" si="82"/>
        <v>-3.8445190886541094</v>
      </c>
      <c r="AR50" t="str">
        <f t="shared" si="83"/>
        <v>-1,05811623246493</v>
      </c>
      <c r="AS50" t="str">
        <f t="shared" si="51"/>
        <v>1+0,00388151990739132i</v>
      </c>
      <c r="AT50">
        <f t="shared" si="84"/>
        <v>1.0000075330700222</v>
      </c>
      <c r="AU50">
        <f t="shared" si="85"/>
        <v>3.8815004143199399E-3</v>
      </c>
      <c r="AV50" t="str">
        <f t="shared" si="52"/>
        <v>1+0,00388151990739132i</v>
      </c>
      <c r="AW50">
        <f t="shared" si="86"/>
        <v>1.0000075330700222</v>
      </c>
      <c r="AX50">
        <f t="shared" si="87"/>
        <v>3.8815004143199399E-3</v>
      </c>
      <c r="AY50" t="str">
        <f t="shared" si="53"/>
        <v>1-6,55788094918026i</v>
      </c>
      <c r="AZ50">
        <f t="shared" si="88"/>
        <v>6.6336869494739785</v>
      </c>
      <c r="BA50">
        <f t="shared" si="89"/>
        <v>-1.4194737442656022</v>
      </c>
      <c r="BB50" s="58" t="str">
        <f t="shared" si="90"/>
        <v>-1,03116682896709+6,94300277747464i</v>
      </c>
      <c r="BC50">
        <f t="shared" si="91"/>
        <v>16.925701564294158</v>
      </c>
      <c r="BD50" s="60">
        <f t="shared" si="92"/>
        <v>98.447751732029829</v>
      </c>
      <c r="BE50" s="58" t="str">
        <f t="shared" si="93"/>
        <v>-0,792339578805517+95,4889107143712i</v>
      </c>
      <c r="BF50" s="37">
        <f t="shared" si="94"/>
        <v>39.599357793790716</v>
      </c>
      <c r="BG50" s="60">
        <f t="shared" si="95"/>
        <v>90.475413025467802</v>
      </c>
      <c r="BH50" s="58" t="str">
        <f t="shared" si="96"/>
        <v>-11,8201558416399+146,807105964931i</v>
      </c>
      <c r="BI50" s="37">
        <f t="shared" si="97"/>
        <v>43.363004455702779</v>
      </c>
      <c r="BJ50" s="60">
        <f t="shared" si="98"/>
        <v>94.603232643375762</v>
      </c>
      <c r="BK50">
        <f t="shared" si="99"/>
        <v>39.599357793790716</v>
      </c>
      <c r="BL50" s="60">
        <f t="shared" si="100"/>
        <v>90.475413025467802</v>
      </c>
      <c r="BN50">
        <f t="shared" si="101"/>
        <v>0</v>
      </c>
      <c r="BO50">
        <f t="shared" si="102"/>
        <v>0</v>
      </c>
    </row>
    <row r="51" spans="1:67" ht="15.75" x14ac:dyDescent="0.25">
      <c r="A51" s="74" t="s">
        <v>490</v>
      </c>
      <c r="M51" s="66">
        <v>33</v>
      </c>
      <c r="N51" s="36">
        <f t="shared" si="54"/>
        <v>21.379620895022335</v>
      </c>
      <c r="O51" s="91" t="str">
        <f t="shared" si="55"/>
        <v>13,7404580152672</v>
      </c>
      <c r="P51" s="67" t="str">
        <f t="shared" si="56"/>
        <v>1+0,145078689471128i</v>
      </c>
      <c r="Q51" s="67">
        <f t="shared" si="57"/>
        <v>1.0104691119171629</v>
      </c>
      <c r="R51" s="67">
        <f t="shared" si="58"/>
        <v>0.14407348994093899</v>
      </c>
      <c r="S51" s="67" t="str">
        <f t="shared" si="59"/>
        <v>1+0,00402996359642022i</v>
      </c>
      <c r="T51" s="67">
        <f t="shared" si="60"/>
        <v>1.0000081202703248</v>
      </c>
      <c r="U51" s="67">
        <f t="shared" si="61"/>
        <v>4.0299417802816921E-3</v>
      </c>
      <c r="V51" t="str">
        <f t="shared" si="62"/>
        <v>1-0,000839575749254212i</v>
      </c>
      <c r="W51" s="67">
        <f t="shared" si="63"/>
        <v>1.0000003524436571</v>
      </c>
      <c r="X51" s="67">
        <f t="shared" si="64"/>
        <v>-8.3957555198549557E-4</v>
      </c>
      <c r="Y51" t="str">
        <f t="shared" si="65"/>
        <v>0,999999970746356+0,00145680278608507i</v>
      </c>
      <c r="Z51" s="67">
        <f t="shared" si="66"/>
        <v>1.0000010318830028</v>
      </c>
      <c r="AA51" s="67">
        <f t="shared" si="67"/>
        <v>1.4568017981246839E-3</v>
      </c>
      <c r="AB51" s="92" t="str">
        <f t="shared" si="68"/>
        <v>13,4606774049326-1,92903730272236i</v>
      </c>
      <c r="AC51" s="37">
        <f t="shared" si="69"/>
        <v>22.669627968637009</v>
      </c>
      <c r="AD51" s="60">
        <f t="shared" si="70"/>
        <v>-8.1554769879734952</v>
      </c>
      <c r="AE51" t="str">
        <f t="shared" si="71"/>
        <v>21,0353732052265</v>
      </c>
      <c r="AF51" t="str">
        <f t="shared" si="72"/>
        <v>1+0,072539344735564i</v>
      </c>
      <c r="AG51">
        <f t="shared" si="73"/>
        <v>1.0026275263200513</v>
      </c>
      <c r="AH51">
        <f t="shared" si="74"/>
        <v>7.2412511968822035E-2</v>
      </c>
      <c r="AI51" t="str">
        <f t="shared" si="50"/>
        <v>1+0,00402996359642022i</v>
      </c>
      <c r="AJ51">
        <f t="shared" si="75"/>
        <v>1.0000081202703248</v>
      </c>
      <c r="AK51">
        <f t="shared" si="76"/>
        <v>4.0299417802816921E-3</v>
      </c>
      <c r="AL51" t="str">
        <f t="shared" si="77"/>
        <v>1-0,000274204291478359i</v>
      </c>
      <c r="AM51">
        <f t="shared" si="78"/>
        <v>1.0000000375939959</v>
      </c>
      <c r="AN51">
        <f t="shared" si="79"/>
        <v>-2.7420428460606913E-4</v>
      </c>
      <c r="AO51" s="58" t="str">
        <f t="shared" si="80"/>
        <v>20,9309893774684-1,43931645546015i</v>
      </c>
      <c r="AP51">
        <f t="shared" si="81"/>
        <v>26.436282816879917</v>
      </c>
      <c r="AQ51" s="60">
        <f t="shared" si="82"/>
        <v>-3.9337434122928032</v>
      </c>
      <c r="AR51" t="str">
        <f t="shared" si="83"/>
        <v>-1,05811623246493</v>
      </c>
      <c r="AS51" t="str">
        <f t="shared" si="51"/>
        <v>1+0,00397193212063177i</v>
      </c>
      <c r="AT51">
        <f t="shared" si="84"/>
        <v>1.0000078880912746</v>
      </c>
      <c r="AU51">
        <f t="shared" si="85"/>
        <v>3.9719112334383666E-3</v>
      </c>
      <c r="AV51" t="str">
        <f t="shared" si="52"/>
        <v>1+0,00397193212063177i</v>
      </c>
      <c r="AW51">
        <f t="shared" si="86"/>
        <v>1.0000078880912746</v>
      </c>
      <c r="AX51">
        <f t="shared" si="87"/>
        <v>3.9719112334383666E-3</v>
      </c>
      <c r="AY51" t="str">
        <f t="shared" si="53"/>
        <v>1-6,40860535413598i</v>
      </c>
      <c r="AZ51">
        <f t="shared" si="88"/>
        <v>6.486156225767334</v>
      </c>
      <c r="BA51">
        <f t="shared" si="89"/>
        <v>-1.41600440074159</v>
      </c>
      <c r="BB51" s="58" t="str">
        <f t="shared" si="90"/>
        <v>-1,03116609680072+6,78514507441453i</v>
      </c>
      <c r="BC51">
        <f t="shared" si="91"/>
        <v>16.730347121264039</v>
      </c>
      <c r="BD51" s="60">
        <f t="shared" si="92"/>
        <v>98.641350315279013</v>
      </c>
      <c r="BE51" s="58" t="str">
        <f t="shared" si="93"/>
        <v>-0,791396227009482+93,3218068583926i</v>
      </c>
      <c r="BF51" s="37">
        <f t="shared" si="94"/>
        <v>39.399975089901048</v>
      </c>
      <c r="BG51" s="60">
        <f t="shared" si="95"/>
        <v>90.485873327305512</v>
      </c>
      <c r="BH51" s="58" t="str">
        <f t="shared" si="96"/>
        <v>-11,8173556602522+143,50397380859i</v>
      </c>
      <c r="BI51" s="37">
        <f t="shared" si="97"/>
        <v>43.166629938143927</v>
      </c>
      <c r="BJ51" s="60">
        <f t="shared" si="98"/>
        <v>94.707606902986228</v>
      </c>
      <c r="BK51">
        <f t="shared" si="99"/>
        <v>39.399975089901048</v>
      </c>
      <c r="BL51" s="60">
        <f t="shared" si="100"/>
        <v>90.485873327305512</v>
      </c>
      <c r="BN51">
        <f t="shared" si="101"/>
        <v>0</v>
      </c>
      <c r="BO51">
        <f t="shared" si="102"/>
        <v>0</v>
      </c>
    </row>
    <row r="52" spans="1:67" x14ac:dyDescent="0.25">
      <c r="A52" t="s">
        <v>491</v>
      </c>
      <c r="M52" s="66">
        <v>34</v>
      </c>
      <c r="N52" s="36">
        <f t="shared" si="54"/>
        <v>21.877616239495538</v>
      </c>
      <c r="O52" s="91" t="str">
        <f t="shared" si="55"/>
        <v>13,7404580152672</v>
      </c>
      <c r="P52" s="67" t="str">
        <f t="shared" si="56"/>
        <v>1+0,148458006265081i</v>
      </c>
      <c r="Q52" s="67">
        <f t="shared" si="57"/>
        <v>1.0109598308657981</v>
      </c>
      <c r="R52" s="67">
        <f t="shared" si="58"/>
        <v>0.14738154520608487</v>
      </c>
      <c r="S52" s="67" t="str">
        <f t="shared" si="59"/>
        <v>1+0,00412383350736336i</v>
      </c>
      <c r="T52" s="67">
        <f t="shared" si="60"/>
        <v>1.0000085029652479</v>
      </c>
      <c r="U52" s="67">
        <f t="shared" si="61"/>
        <v>4.1238101309604971E-3</v>
      </c>
      <c r="V52" t="str">
        <f t="shared" si="62"/>
        <v>1-0,0008591319807007i</v>
      </c>
      <c r="W52" s="67">
        <f t="shared" si="63"/>
        <v>1.000000369053812</v>
      </c>
      <c r="X52" s="67">
        <f t="shared" si="64"/>
        <v>-8.5913176932346622E-4</v>
      </c>
      <c r="Y52" t="str">
        <f t="shared" si="65"/>
        <v>0,999999969367674+0,00149073608213593i</v>
      </c>
      <c r="Z52" s="67">
        <f t="shared" si="66"/>
        <v>1.000001080514124</v>
      </c>
      <c r="AA52" s="67">
        <f t="shared" si="67"/>
        <v>1.490735023517366E-3</v>
      </c>
      <c r="AB52" s="92" t="str">
        <f t="shared" si="68"/>
        <v>13,4477760922292-1,97205505626064i</v>
      </c>
      <c r="AC52" s="37">
        <f t="shared" si="69"/>
        <v>22.66541386830275</v>
      </c>
      <c r="AD52" s="60">
        <f t="shared" si="70"/>
        <v>-8.3427010520555953</v>
      </c>
      <c r="AE52" t="str">
        <f t="shared" si="71"/>
        <v>21,0353732052265</v>
      </c>
      <c r="AF52" t="str">
        <f t="shared" si="72"/>
        <v>1+0,0742290031325406i</v>
      </c>
      <c r="AG52">
        <f t="shared" si="73"/>
        <v>1.0027511879354971</v>
      </c>
      <c r="AH52">
        <f t="shared" si="74"/>
        <v>7.4093119504670901E-2</v>
      </c>
      <c r="AI52" t="str">
        <f t="shared" si="50"/>
        <v>1+0,00412383350736336i</v>
      </c>
      <c r="AJ52">
        <f t="shared" si="75"/>
        <v>1.0000085029652479</v>
      </c>
      <c r="AK52">
        <f t="shared" si="76"/>
        <v>4.1238101309604971E-3</v>
      </c>
      <c r="AL52" t="str">
        <f t="shared" si="77"/>
        <v>1-0,000280591329923114i</v>
      </c>
      <c r="AM52">
        <f t="shared" si="78"/>
        <v>1.0000000393657464</v>
      </c>
      <c r="AN52">
        <f t="shared" si="79"/>
        <v>-2.805913225593228E-4</v>
      </c>
      <c r="AO52" s="58" t="str">
        <f t="shared" si="80"/>
        <v>20,9260968766362-1,47247927708715i</v>
      </c>
      <c r="AP52">
        <f t="shared" si="81"/>
        <v>26.435214926062436</v>
      </c>
      <c r="AQ52" s="60">
        <f t="shared" si="82"/>
        <v>-4.0250228211093884</v>
      </c>
      <c r="AR52" t="str">
        <f t="shared" si="83"/>
        <v>-1,05811623246493</v>
      </c>
      <c r="AS52" t="str">
        <f t="shared" si="51"/>
        <v>1+0,00406445030485733i</v>
      </c>
      <c r="AT52">
        <f t="shared" si="84"/>
        <v>1.0000082598440279</v>
      </c>
      <c r="AU52">
        <f t="shared" si="85"/>
        <v>4.0644279238363501E-3</v>
      </c>
      <c r="AV52" t="str">
        <f t="shared" si="52"/>
        <v>1+0,00406445030485733i</v>
      </c>
      <c r="AW52">
        <f t="shared" si="86"/>
        <v>1.0000082598440279</v>
      </c>
      <c r="AX52">
        <f t="shared" si="87"/>
        <v>4.0644279238363501E-3</v>
      </c>
      <c r="AY52" t="str">
        <f t="shared" si="53"/>
        <v>1-6,26272768647837i</v>
      </c>
      <c r="AZ52">
        <f t="shared" si="88"/>
        <v>6.3420626041519581</v>
      </c>
      <c r="BA52">
        <f t="shared" si="89"/>
        <v>-1.4124581307940327</v>
      </c>
      <c r="BB52" s="58" t="str">
        <f t="shared" si="90"/>
        <v>-1,03116533012952+6,6308849448107i</v>
      </c>
      <c r="BC52">
        <f t="shared" si="91"/>
        <v>16.535206289334806</v>
      </c>
      <c r="BD52" s="60">
        <f t="shared" si="92"/>
        <v>98.83923580039378</v>
      </c>
      <c r="BE52" s="58" t="str">
        <f t="shared" si="93"/>
        <v>-0,790410290754894+91,2041708342705i</v>
      </c>
      <c r="BF52" s="37">
        <f t="shared" si="94"/>
        <v>39.200620157637559</v>
      </c>
      <c r="BG52" s="60">
        <f t="shared" si="95"/>
        <v>90.496534748338178</v>
      </c>
      <c r="BH52" s="58" t="str">
        <f t="shared" si="96"/>
        <v>-11,814424924136+140,276910312804i</v>
      </c>
      <c r="BI52" s="37">
        <f t="shared" si="97"/>
        <v>42.970421215397259</v>
      </c>
      <c r="BJ52" s="60">
        <f t="shared" si="98"/>
        <v>94.814212979284378</v>
      </c>
      <c r="BK52">
        <f t="shared" si="99"/>
        <v>39.200620157637559</v>
      </c>
      <c r="BL52" s="60">
        <f t="shared" si="100"/>
        <v>90.496534748338178</v>
      </c>
      <c r="BN52">
        <f t="shared" si="101"/>
        <v>0</v>
      </c>
      <c r="BO52">
        <f t="shared" si="102"/>
        <v>0</v>
      </c>
    </row>
    <row r="53" spans="1:67" x14ac:dyDescent="0.25">
      <c r="A53" t="s">
        <v>492</v>
      </c>
      <c r="B53" s="29">
        <f>RFB_TOP</f>
        <v>49900</v>
      </c>
      <c r="C53" s="70" t="s">
        <v>459</v>
      </c>
      <c r="E53" t="s">
        <v>500</v>
      </c>
      <c r="M53" s="66">
        <v>35</v>
      </c>
      <c r="N53" s="36">
        <f t="shared" si="54"/>
        <v>22.387211385683404</v>
      </c>
      <c r="O53" s="91" t="str">
        <f t="shared" si="55"/>
        <v>13,7404580152672</v>
      </c>
      <c r="P53" s="67" t="str">
        <f t="shared" si="56"/>
        <v>1+0,15191603745903i</v>
      </c>
      <c r="Q53" s="67">
        <f t="shared" si="57"/>
        <v>1.0114734215179624</v>
      </c>
      <c r="R53" s="67">
        <f t="shared" si="58"/>
        <v>0.15076329412032194</v>
      </c>
      <c r="S53" s="67" t="str">
        <f t="shared" si="59"/>
        <v>1+0,0042198899294175i</v>
      </c>
      <c r="T53" s="67">
        <f t="shared" si="60"/>
        <v>1.0000089036958704</v>
      </c>
      <c r="U53" s="67">
        <f t="shared" si="61"/>
        <v>4.2198648811625902E-3</v>
      </c>
      <c r="V53" t="str">
        <f t="shared" si="62"/>
        <v>1-0,000879143735295312i</v>
      </c>
      <c r="W53" s="67">
        <f t="shared" si="63"/>
        <v>1.000000386446779</v>
      </c>
      <c r="X53" s="67">
        <f t="shared" si="64"/>
        <v>-8.7914350880053012E-4</v>
      </c>
      <c r="Y53" t="str">
        <f t="shared" si="65"/>
        <v>0,999999967924017+0,00152545978618977i</v>
      </c>
      <c r="Z53" s="67">
        <f t="shared" si="66"/>
        <v>1.0000011314371571</v>
      </c>
      <c r="AA53" s="67">
        <f t="shared" si="67"/>
        <v>1.5254586518596109E-3</v>
      </c>
      <c r="AB53" s="92" t="str">
        <f t="shared" si="68"/>
        <v>13,4342935732953-2,01594191471836i</v>
      </c>
      <c r="AC53" s="37">
        <f t="shared" si="69"/>
        <v>22.661005548170436</v>
      </c>
      <c r="AD53" s="60">
        <f t="shared" si="70"/>
        <v>-8.5340935659917516</v>
      </c>
      <c r="AE53" t="str">
        <f t="shared" si="71"/>
        <v>21,0353732052265</v>
      </c>
      <c r="AF53" t="str">
        <f t="shared" si="72"/>
        <v>1+0,0759580187295151i</v>
      </c>
      <c r="AG53">
        <f t="shared" si="73"/>
        <v>1.0028806612001815</v>
      </c>
      <c r="AH53">
        <f t="shared" si="74"/>
        <v>7.581243937732958E-2</v>
      </c>
      <c r="AI53" t="str">
        <f t="shared" si="50"/>
        <v>1+0,0042198899294175i</v>
      </c>
      <c r="AJ53">
        <f t="shared" si="75"/>
        <v>1.0000089036958704</v>
      </c>
      <c r="AK53">
        <f t="shared" si="76"/>
        <v>4.2198648811625902E-3</v>
      </c>
      <c r="AL53" t="str">
        <f t="shared" si="77"/>
        <v>1-0,000287127141605061i</v>
      </c>
      <c r="AM53">
        <f t="shared" si="78"/>
        <v>1.0000000412209968</v>
      </c>
      <c r="AN53">
        <f t="shared" si="79"/>
        <v>-2.8712713371461656E-4</v>
      </c>
      <c r="AO53" s="58" t="str">
        <f t="shared" si="80"/>
        <v>20,9209763852263-1,5063887831395i</v>
      </c>
      <c r="AP53">
        <f t="shared" si="81"/>
        <v>26.434096990228628</v>
      </c>
      <c r="AQ53" s="60">
        <f t="shared" si="82"/>
        <v>-4.1184035360518383</v>
      </c>
      <c r="AR53" t="str">
        <f t="shared" si="83"/>
        <v>-1,05811623246493</v>
      </c>
      <c r="AS53" t="str">
        <f t="shared" si="51"/>
        <v>1+0,00415912351443389i</v>
      </c>
      <c r="AT53">
        <f t="shared" si="84"/>
        <v>1.0000086491168005</v>
      </c>
      <c r="AU53">
        <f t="shared" si="85"/>
        <v>4.1590995327490414E-3</v>
      </c>
      <c r="AV53" t="str">
        <f t="shared" si="52"/>
        <v>1+0,00415912351443389i</v>
      </c>
      <c r="AW53">
        <f t="shared" si="86"/>
        <v>1.0000086491168005</v>
      </c>
      <c r="AX53">
        <f t="shared" si="87"/>
        <v>4.1590995327490414E-3</v>
      </c>
      <c r="AY53" t="str">
        <f t="shared" si="53"/>
        <v>1-6,12017059993712i</v>
      </c>
      <c r="AZ53">
        <f t="shared" si="88"/>
        <v>6.2013295487608699</v>
      </c>
      <c r="BA53">
        <f t="shared" si="89"/>
        <v>-1.4088334111101766</v>
      </c>
      <c r="BB53" s="58" t="str">
        <f t="shared" si="90"/>
        <v>-1,03116452732745+6,48014059788096i</v>
      </c>
      <c r="BC53">
        <f t="shared" si="91"/>
        <v>16.340288634797449</v>
      </c>
      <c r="BD53" s="60">
        <f t="shared" si="92"/>
        <v>99.041492656566334</v>
      </c>
      <c r="BE53" s="58" t="str">
        <f t="shared" si="93"/>
        <v>-0,789379937948924+89,1348789797723i</v>
      </c>
      <c r="BF53" s="37">
        <f t="shared" si="94"/>
        <v>39.001294182967889</v>
      </c>
      <c r="BG53" s="60">
        <f t="shared" si="95"/>
        <v>90.50739909057458</v>
      </c>
      <c r="BH53" s="58" t="str">
        <f t="shared" si="96"/>
        <v>-11,8113576156858+137,124203098751i</v>
      </c>
      <c r="BI53" s="37">
        <f t="shared" si="97"/>
        <v>42.774385625026063</v>
      </c>
      <c r="BJ53" s="60">
        <f t="shared" si="98"/>
        <v>94.92308912051449</v>
      </c>
      <c r="BK53">
        <f t="shared" si="99"/>
        <v>39.001294182967889</v>
      </c>
      <c r="BL53" s="60">
        <f t="shared" si="100"/>
        <v>90.50739909057458</v>
      </c>
      <c r="BN53">
        <f t="shared" si="101"/>
        <v>0</v>
      </c>
      <c r="BO53">
        <f t="shared" si="102"/>
        <v>0</v>
      </c>
    </row>
    <row r="54" spans="1:67" x14ac:dyDescent="0.25">
      <c r="A54" t="s">
        <v>493</v>
      </c>
      <c r="B54" s="29">
        <f>Calculations!$B$162</f>
        <v>3560</v>
      </c>
      <c r="C54" s="70" t="s">
        <v>459</v>
      </c>
      <c r="E54" t="s">
        <v>501</v>
      </c>
      <c r="M54" s="66">
        <v>36</v>
      </c>
      <c r="N54" s="36">
        <f t="shared" si="54"/>
        <v>22.908676527677727</v>
      </c>
      <c r="O54" s="91" t="str">
        <f t="shared" si="55"/>
        <v>13,7404580152672</v>
      </c>
      <c r="P54" s="67" t="str">
        <f t="shared" si="56"/>
        <v>1+0,155454616546886i</v>
      </c>
      <c r="Q54" s="67">
        <f t="shared" si="57"/>
        <v>1.0120109375919508</v>
      </c>
      <c r="R54" s="67">
        <f t="shared" si="58"/>
        <v>0.15422022017609407</v>
      </c>
      <c r="S54" s="67" t="str">
        <f t="shared" si="59"/>
        <v>1+0,00431818379296905i</v>
      </c>
      <c r="T54" s="67">
        <f t="shared" si="60"/>
        <v>1.000009323312173</v>
      </c>
      <c r="U54" s="67">
        <f t="shared" si="61"/>
        <v>4.3181569532938667E-3</v>
      </c>
      <c r="V54" t="str">
        <f t="shared" si="62"/>
        <v>1-0,000899621623535219i</v>
      </c>
      <c r="W54" s="67">
        <f t="shared" si="63"/>
        <v>1.0000004046594508</v>
      </c>
      <c r="X54" s="67">
        <f t="shared" si="64"/>
        <v>-8.996213808416929E-4</v>
      </c>
      <c r="Y54" t="str">
        <f t="shared" si="65"/>
        <v>0,999999966412323+0,00156099230921409i</v>
      </c>
      <c r="Z54" s="67">
        <f t="shared" si="66"/>
        <v>1.0000011847601165</v>
      </c>
      <c r="AA54" s="67">
        <f t="shared" si="67"/>
        <v>1.5609910937575029E-3</v>
      </c>
      <c r="AB54" s="92" t="str">
        <f t="shared" si="68"/>
        <v>13,4202049541645-2,06070909983482i</v>
      </c>
      <c r="AC54" s="37">
        <f t="shared" si="69"/>
        <v>22.656394268200586</v>
      </c>
      <c r="AD54" s="60">
        <f t="shared" si="70"/>
        <v>-8.7297382727814803</v>
      </c>
      <c r="AE54" t="str">
        <f t="shared" si="71"/>
        <v>21,0353732052265</v>
      </c>
      <c r="AF54" t="str">
        <f t="shared" si="72"/>
        <v>1+0,077727308273443i</v>
      </c>
      <c r="AG54">
        <f t="shared" si="73"/>
        <v>1.003016218438882</v>
      </c>
      <c r="AH54">
        <f t="shared" si="74"/>
        <v>7.7571342510881824E-2</v>
      </c>
      <c r="AI54" t="str">
        <f t="shared" si="50"/>
        <v>1+0,00431818379296905i</v>
      </c>
      <c r="AJ54">
        <f t="shared" si="75"/>
        <v>1.000009323312173</v>
      </c>
      <c r="AK54">
        <f t="shared" si="76"/>
        <v>4.3181569532938667E-3</v>
      </c>
      <c r="AL54" t="str">
        <f t="shared" si="77"/>
        <v>1-0,000293815191898062i</v>
      </c>
      <c r="AM54">
        <f t="shared" si="78"/>
        <v>1.0000000431636826</v>
      </c>
      <c r="AN54">
        <f t="shared" si="79"/>
        <v>-2.9381518344329848E-4</v>
      </c>
      <c r="AO54" s="58" t="str">
        <f t="shared" si="80"/>
        <v>20,9156174056577-1,54106054638002i</v>
      </c>
      <c r="AP54">
        <f t="shared" si="81"/>
        <v>26.432926677984632</v>
      </c>
      <c r="AQ54" s="60">
        <f t="shared" si="82"/>
        <v>-4.2139327383066227</v>
      </c>
      <c r="AR54" t="str">
        <f t="shared" si="83"/>
        <v>-1,05811623246493</v>
      </c>
      <c r="AS54" t="str">
        <f t="shared" si="51"/>
        <v>1+0,0042560019463503i</v>
      </c>
      <c r="AT54">
        <f t="shared" si="84"/>
        <v>1.0000090567352715</v>
      </c>
      <c r="AU54">
        <f t="shared" si="85"/>
        <v>4.2559762495245823E-3</v>
      </c>
      <c r="AV54" t="str">
        <f t="shared" si="52"/>
        <v>1+0,0042560019463503i</v>
      </c>
      <c r="AW54">
        <f t="shared" si="86"/>
        <v>1.0000090567352715</v>
      </c>
      <c r="AX54">
        <f t="shared" si="87"/>
        <v>4.2559762495245823E-3</v>
      </c>
      <c r="AY54" t="str">
        <f t="shared" si="53"/>
        <v>1-5,98085850885801i</v>
      </c>
      <c r="AZ54">
        <f t="shared" si="88"/>
        <v>6.063882296266911</v>
      </c>
      <c r="BA54">
        <f t="shared" si="89"/>
        <v>-1.4051287009992237</v>
      </c>
      <c r="BB54" s="58" t="str">
        <f t="shared" si="90"/>
        <v>-1,03116368669181+6,33283210695623i</v>
      </c>
      <c r="BC54">
        <f t="shared" si="91"/>
        <v>16.145604128348786</v>
      </c>
      <c r="BD54" s="60">
        <f t="shared" si="92"/>
        <v>99.248206283238986</v>
      </c>
      <c r="BE54" s="58" t="str">
        <f t="shared" si="93"/>
        <v>-0,788303266165139+87,112833208251i</v>
      </c>
      <c r="BF54" s="37">
        <f t="shared" si="94"/>
        <v>38.801998396549365</v>
      </c>
      <c r="BG54" s="60">
        <f t="shared" si="95"/>
        <v>90.518468010457497</v>
      </c>
      <c r="BH54" s="58" t="str">
        <f t="shared" si="96"/>
        <v>-11,8081474465745+134,044179117782i</v>
      </c>
      <c r="BI54" s="37">
        <f t="shared" si="97"/>
        <v>42.578530806333404</v>
      </c>
      <c r="BJ54" s="60">
        <f t="shared" si="98"/>
        <v>95.034273544932361</v>
      </c>
      <c r="BK54">
        <f t="shared" si="99"/>
        <v>38.801998396549365</v>
      </c>
      <c r="BL54" s="60">
        <f t="shared" si="100"/>
        <v>90.518468010457497</v>
      </c>
      <c r="BN54">
        <f t="shared" si="101"/>
        <v>0</v>
      </c>
      <c r="BO54">
        <f t="shared" si="102"/>
        <v>0</v>
      </c>
    </row>
    <row r="55" spans="1:67" x14ac:dyDescent="0.25">
      <c r="A55" t="s">
        <v>494</v>
      </c>
      <c r="B55" s="29">
        <f>Rcomp_S</f>
        <v>52800</v>
      </c>
      <c r="C55" s="70" t="s">
        <v>459</v>
      </c>
      <c r="E55" t="s">
        <v>502</v>
      </c>
      <c r="M55" s="66">
        <v>37</v>
      </c>
      <c r="N55" s="36">
        <f t="shared" si="54"/>
        <v>23.442288153199236</v>
      </c>
      <c r="O55" s="91" t="str">
        <f t="shared" si="55"/>
        <v>13,7404580152672</v>
      </c>
      <c r="P55" s="67" t="str">
        <f t="shared" si="56"/>
        <v>1+0,15907561973012i</v>
      </c>
      <c r="Q55" s="67">
        <f t="shared" si="57"/>
        <v>1.0125734801941644</v>
      </c>
      <c r="R55" s="67">
        <f t="shared" si="58"/>
        <v>0.15775382561977874</v>
      </c>
      <c r="S55" s="67" t="str">
        <f t="shared" si="59"/>
        <v>1+0,00441876721472557i</v>
      </c>
      <c r="T55" s="67">
        <f t="shared" si="60"/>
        <v>1.0000097627041937</v>
      </c>
      <c r="U55" s="67">
        <f t="shared" si="61"/>
        <v>4.4187384555106285E-3</v>
      </c>
      <c r="V55" t="str">
        <f t="shared" si="62"/>
        <v>1-0,000920576503067825i</v>
      </c>
      <c r="W55" s="67">
        <f t="shared" si="63"/>
        <v>1.0000004237304592</v>
      </c>
      <c r="X55" s="67">
        <f t="shared" si="64"/>
        <v>-9.2057624301703259E-4</v>
      </c>
      <c r="Y55" t="str">
        <f t="shared" si="65"/>
        <v>0,999999964829384+0,00159735249102293i</v>
      </c>
      <c r="Z55" s="67">
        <f t="shared" si="66"/>
        <v>1.0000012405961054</v>
      </c>
      <c r="AA55" s="67">
        <f t="shared" si="67"/>
        <v>1.5973511886378205E-3</v>
      </c>
      <c r="AB55" s="92" t="str">
        <f t="shared" si="68"/>
        <v>13,4054843957669-2,10636750605137i</v>
      </c>
      <c r="AC55" s="37">
        <f t="shared" si="69"/>
        <v>22.651570914907225</v>
      </c>
      <c r="AD55" s="60">
        <f t="shared" si="70"/>
        <v>-8.9297199607372235</v>
      </c>
      <c r="AE55" t="str">
        <f t="shared" si="71"/>
        <v>21,0353732052265</v>
      </c>
      <c r="AF55" t="str">
        <f t="shared" si="72"/>
        <v>1+0,0795378098650602i</v>
      </c>
      <c r="AG55">
        <f t="shared" si="73"/>
        <v>1.0031581446602178</v>
      </c>
      <c r="AH55">
        <f t="shared" si="74"/>
        <v>7.9370717942000527E-2</v>
      </c>
      <c r="AI55" t="str">
        <f t="shared" si="50"/>
        <v>1+0,00441876721472557i</v>
      </c>
      <c r="AJ55">
        <f t="shared" si="75"/>
        <v>1.0000097627041937</v>
      </c>
      <c r="AK55">
        <f t="shared" si="76"/>
        <v>4.4187384555106285E-3</v>
      </c>
      <c r="AL55" t="str">
        <f t="shared" si="77"/>
        <v>1-0,000300659026894912i</v>
      </c>
      <c r="AM55">
        <f t="shared" si="78"/>
        <v>1.0000000451979241</v>
      </c>
      <c r="AN55">
        <f t="shared" si="79"/>
        <v>-3.006590178354697E-4</v>
      </c>
      <c r="AO55" s="58" t="str">
        <f t="shared" si="80"/>
        <v>20,9100089691488-1,57651037503435i</v>
      </c>
      <c r="AP55">
        <f t="shared" si="81"/>
        <v>26.431701550657849</v>
      </c>
      <c r="AQ55" s="60">
        <f t="shared" si="82"/>
        <v>-4.311658583521532</v>
      </c>
      <c r="AR55" t="str">
        <f t="shared" si="83"/>
        <v>-1,05811623246493</v>
      </c>
      <c r="AS55" t="str">
        <f t="shared" si="51"/>
        <v>1+0,00435513696683351i</v>
      </c>
      <c r="AT55">
        <f t="shared" si="84"/>
        <v>1.000009483564031</v>
      </c>
      <c r="AU55">
        <f t="shared" si="85"/>
        <v>4.3551094322027729E-3</v>
      </c>
      <c r="AV55" t="str">
        <f t="shared" si="52"/>
        <v>1+0,00435513696683351i</v>
      </c>
      <c r="AW55">
        <f t="shared" si="86"/>
        <v>1.000009483564031</v>
      </c>
      <c r="AX55">
        <f t="shared" si="87"/>
        <v>4.3551094322027729E-3</v>
      </c>
      <c r="AY55" t="str">
        <f t="shared" si="53"/>
        <v>1-5,84471754812631i</v>
      </c>
      <c r="AZ55">
        <f t="shared" si="88"/>
        <v>5.9296478156274697</v>
      </c>
      <c r="BA55">
        <f t="shared" si="89"/>
        <v>-1.4013424431541133</v>
      </c>
      <c r="BB55" s="58" t="str">
        <f t="shared" si="90"/>
        <v>-1,03116280643972+6,18888136710222i</v>
      </c>
      <c r="BC55">
        <f t="shared" si="91"/>
        <v>15.951163159939254</v>
      </c>
      <c r="BD55" s="60">
        <f t="shared" si="92"/>
        <v>99.459462964935028</v>
      </c>
      <c r="BE55" s="58" t="str">
        <f t="shared" si="93"/>
        <v>-0,787178300751975+85,1369604228747i</v>
      </c>
      <c r="BF55" s="37">
        <f t="shared" si="94"/>
        <v>38.602734074846474</v>
      </c>
      <c r="BG55" s="60">
        <f t="shared" si="95"/>
        <v>90.529743004197798</v>
      </c>
      <c r="BH55" s="58" t="str">
        <f t="shared" si="96"/>
        <v>-11,8047878462138+131,035203757807i</v>
      </c>
      <c r="BI55" s="37">
        <f t="shared" si="97"/>
        <v>42.382864710597097</v>
      </c>
      <c r="BJ55" s="60">
        <f t="shared" si="98"/>
        <v>95.147804381413522</v>
      </c>
      <c r="BK55">
        <f t="shared" si="99"/>
        <v>38.602734074846474</v>
      </c>
      <c r="BL55" s="60">
        <f t="shared" si="100"/>
        <v>90.529743004197798</v>
      </c>
      <c r="BN55">
        <f t="shared" si="101"/>
        <v>0</v>
      </c>
      <c r="BO55">
        <f t="shared" si="102"/>
        <v>0</v>
      </c>
    </row>
    <row r="56" spans="1:67" x14ac:dyDescent="0.25">
      <c r="A56" t="s">
        <v>495</v>
      </c>
      <c r="B56" s="29">
        <f>Ccomp_S</f>
        <v>2.2000000000000002E-8</v>
      </c>
      <c r="C56" s="70" t="s">
        <v>354</v>
      </c>
      <c r="E56" t="s">
        <v>503</v>
      </c>
      <c r="M56" s="66">
        <v>38</v>
      </c>
      <c r="N56" s="36">
        <f t="shared" si="54"/>
        <v>23.988329190194907</v>
      </c>
      <c r="O56" s="91" t="str">
        <f t="shared" si="55"/>
        <v>13,7404580152672</v>
      </c>
      <c r="P56" s="67" t="str">
        <f t="shared" si="56"/>
        <v>1+0,16278096691255i</v>
      </c>
      <c r="Q56" s="67">
        <f t="shared" si="57"/>
        <v>1.0131621998421501</v>
      </c>
      <c r="R56" s="67">
        <f t="shared" si="58"/>
        <v>0.16136563085985914</v>
      </c>
      <c r="S56" s="67" t="str">
        <f t="shared" si="59"/>
        <v>1+0,0045216935253486i</v>
      </c>
      <c r="T56" s="67">
        <f t="shared" si="60"/>
        <v>1.0000102228039158</v>
      </c>
      <c r="U56" s="67">
        <f t="shared" si="61"/>
        <v>4.5216627093116009E-3</v>
      </c>
      <c r="V56" t="str">
        <f t="shared" si="62"/>
        <v>1-0,000942019484447625i</v>
      </c>
      <c r="W56" s="67">
        <f t="shared" si="63"/>
        <v>1.0000004437002561</v>
      </c>
      <c r="X56" s="67">
        <f t="shared" si="64"/>
        <v>-9.4201920579818719E-4</v>
      </c>
      <c r="Y56" t="str">
        <f t="shared" si="65"/>
        <v>0,999999963171844+0,00163455961026596i</v>
      </c>
      <c r="Z56" s="67">
        <f t="shared" si="66"/>
        <v>1.0000012990635607</v>
      </c>
      <c r="AA56" s="67">
        <f t="shared" si="67"/>
        <v>1.6345582147352701E-3</v>
      </c>
      <c r="AB56" s="92" t="str">
        <f t="shared" si="68"/>
        <v>13,3901050895774-2,1529276572908i</v>
      </c>
      <c r="AC56" s="37">
        <f t="shared" si="69"/>
        <v>22.646525987265903</v>
      </c>
      <c r="AD56" s="60">
        <f t="shared" si="70"/>
        <v>-9.1341244288959498</v>
      </c>
      <c r="AE56" t="str">
        <f t="shared" si="71"/>
        <v>21,0353732052265</v>
      </c>
      <c r="AF56" t="str">
        <f t="shared" si="72"/>
        <v>1+0,0813904834562749i</v>
      </c>
      <c r="AG56">
        <f t="shared" si="73"/>
        <v>1.0033067381400596</v>
      </c>
      <c r="AH56">
        <f t="shared" si="74"/>
        <v>8.1211473089885022E-2</v>
      </c>
      <c r="AI56" t="str">
        <f t="shared" si="50"/>
        <v>1+0,0045216935253486i</v>
      </c>
      <c r="AJ56">
        <f t="shared" si="75"/>
        <v>1.0000102228039158</v>
      </c>
      <c r="AK56">
        <f t="shared" si="76"/>
        <v>4.5216627093116009E-3</v>
      </c>
      <c r="AL56" t="str">
        <f t="shared" si="77"/>
        <v>1-0,000307662275287514i</v>
      </c>
      <c r="AM56">
        <f t="shared" si="78"/>
        <v>1.0000000473280366</v>
      </c>
      <c r="AN56">
        <f t="shared" si="79"/>
        <v>-3.0766226558014674E-4</v>
      </c>
      <c r="AO56" s="58" t="str">
        <f t="shared" si="80"/>
        <v>20,9041396157331-1,61275430951846i</v>
      </c>
      <c r="AP56">
        <f t="shared" si="81"/>
        <v>26.430419057487789</v>
      </c>
      <c r="AQ56" s="60">
        <f t="shared" si="82"/>
        <v>-4.4116302157985929</v>
      </c>
      <c r="AR56" t="str">
        <f t="shared" si="83"/>
        <v>-1,05811623246493</v>
      </c>
      <c r="AS56" t="str">
        <f t="shared" si="51"/>
        <v>1+0,00445658113858358i</v>
      </c>
      <c r="AT56">
        <f t="shared" si="84"/>
        <v>1.0000099305084149</v>
      </c>
      <c r="AU56">
        <f t="shared" si="85"/>
        <v>4.4565516347110064E-3</v>
      </c>
      <c r="AV56" t="str">
        <f t="shared" si="52"/>
        <v>1+0,00445658113858358i</v>
      </c>
      <c r="AW56">
        <f t="shared" si="86"/>
        <v>1.0000099305084149</v>
      </c>
      <c r="AX56">
        <f t="shared" si="87"/>
        <v>4.4565516347110064E-3</v>
      </c>
      <c r="AY56" t="str">
        <f t="shared" si="53"/>
        <v>1-5,71167553400264i</v>
      </c>
      <c r="AZ56">
        <f t="shared" si="88"/>
        <v>5.7985547687095575</v>
      </c>
      <c r="BA56">
        <f t="shared" si="89"/>
        <v>-1.3974730644998556</v>
      </c>
      <c r="BB56" s="58" t="str">
        <f t="shared" si="90"/>
        <v>-1,03116188470422+6,04821205370719i</v>
      </c>
      <c r="BC56">
        <f t="shared" si="91"/>
        <v>15.756976553952306</v>
      </c>
      <c r="BD56" s="60">
        <f t="shared" si="92"/>
        <v>99.67534982109369</v>
      </c>
      <c r="BE56" s="58" t="str">
        <f t="shared" si="93"/>
        <v>-0,786002992970403+83,2062119439119i</v>
      </c>
      <c r="BF56" s="37">
        <f t="shared" si="94"/>
        <v>38.403502541218216</v>
      </c>
      <c r="BG56" s="60">
        <f t="shared" si="95"/>
        <v>90.541225392197731</v>
      </c>
      <c r="BH56" s="58" t="str">
        <f t="shared" si="96"/>
        <v>-11,8012719497817+128,095679969623i</v>
      </c>
      <c r="BI56" s="37">
        <f t="shared" si="97"/>
        <v>42.18739561144011</v>
      </c>
      <c r="BJ56" s="60">
        <f t="shared" si="98"/>
        <v>95.26371960529508</v>
      </c>
      <c r="BK56">
        <f t="shared" si="99"/>
        <v>38.403502541218216</v>
      </c>
      <c r="BL56" s="60">
        <f t="shared" si="100"/>
        <v>90.541225392197731</v>
      </c>
      <c r="BN56">
        <f t="shared" si="101"/>
        <v>0</v>
      </c>
      <c r="BO56">
        <f t="shared" si="102"/>
        <v>0</v>
      </c>
    </row>
    <row r="57" spans="1:67" x14ac:dyDescent="0.25">
      <c r="A57" t="s">
        <v>392</v>
      </c>
      <c r="B57" s="29">
        <f>CHF_S</f>
        <v>5.6000000000000003E-10</v>
      </c>
      <c r="C57" s="70" t="s">
        <v>354</v>
      </c>
      <c r="E57" t="s">
        <v>504</v>
      </c>
      <c r="M57" s="66">
        <v>39</v>
      </c>
      <c r="N57" s="36">
        <f t="shared" si="54"/>
        <v>24.547089156850316</v>
      </c>
      <c r="O57" s="91" t="str">
        <f t="shared" si="55"/>
        <v>13,7404580152672</v>
      </c>
      <c r="P57" s="67" t="str">
        <f t="shared" si="56"/>
        <v>1+0,166572622718297i</v>
      </c>
      <c r="Q57" s="67">
        <f t="shared" si="57"/>
        <v>1.0137782985639672</v>
      </c>
      <c r="R57" s="67">
        <f t="shared" si="58"/>
        <v>0.16505717379938289</v>
      </c>
      <c r="S57" s="67" t="str">
        <f t="shared" si="59"/>
        <v>1+0,00462701729773047i</v>
      </c>
      <c r="T57" s="67">
        <f t="shared" si="60"/>
        <v>1.0000107045872426</v>
      </c>
      <c r="U57" s="67">
        <f t="shared" si="61"/>
        <v>4.6269842777710048E-3</v>
      </c>
      <c r="V57" t="str">
        <f t="shared" si="62"/>
        <v>1-0,000963961937027181i</v>
      </c>
      <c r="W57" s="67">
        <f t="shared" si="63"/>
        <v>1.0000004646112</v>
      </c>
      <c r="X57" s="67">
        <f t="shared" si="64"/>
        <v>-9.6396163844893656E-4</v>
      </c>
      <c r="Y57" t="str">
        <f t="shared" si="65"/>
        <v>0,999999961436187+0,00167263339465032i</v>
      </c>
      <c r="Z57" s="67">
        <f t="shared" si="66"/>
        <v>1.000001360286499</v>
      </c>
      <c r="AA57" s="67">
        <f t="shared" si="67"/>
        <v>1.6726318993123537E-3</v>
      </c>
      <c r="AB57" s="92" t="str">
        <f t="shared" si="68"/>
        <v>13,3740392338112-2,20039966091171i</v>
      </c>
      <c r="AC57" s="37">
        <f t="shared" si="69"/>
        <v>22.641249582267562</v>
      </c>
      <c r="AD57" s="60">
        <f t="shared" si="70"/>
        <v>-9.3430384480774968</v>
      </c>
      <c r="AE57" t="str">
        <f t="shared" si="71"/>
        <v>21,0353732052265</v>
      </c>
      <c r="AF57" t="str">
        <f t="shared" si="72"/>
        <v>1+0,0832863113591485i</v>
      </c>
      <c r="AG57">
        <f t="shared" si="73"/>
        <v>1.0034623110310685</v>
      </c>
      <c r="AH57">
        <f t="shared" si="74"/>
        <v>8.3094534022043962E-2</v>
      </c>
      <c r="AI57" t="str">
        <f t="shared" si="50"/>
        <v>1+0,00462701729773047i</v>
      </c>
      <c r="AJ57">
        <f t="shared" si="75"/>
        <v>1.0000107045872426</v>
      </c>
      <c r="AK57">
        <f t="shared" si="76"/>
        <v>4.6269842777710048E-3</v>
      </c>
      <c r="AL57" t="str">
        <f t="shared" si="77"/>
        <v>1-0,000314828650290864i</v>
      </c>
      <c r="AM57">
        <f t="shared" si="78"/>
        <v>1.0000000495585382</v>
      </c>
      <c r="AN57">
        <f t="shared" si="79"/>
        <v>-3.1482863988923255E-4</v>
      </c>
      <c r="AO57" s="58" t="str">
        <f t="shared" si="80"/>
        <v>20,8979973735413-1,64980861850519i</v>
      </c>
      <c r="AP57">
        <f t="shared" si="81"/>
        <v>26.42907653061393</v>
      </c>
      <c r="AQ57" s="60">
        <f t="shared" si="82"/>
        <v>-4.5138977814151655</v>
      </c>
      <c r="AR57" t="str">
        <f t="shared" si="83"/>
        <v>-1,05811623246493</v>
      </c>
      <c r="AS57" t="str">
        <f t="shared" si="51"/>
        <v>1+0,00456038824864315i</v>
      </c>
      <c r="AT57">
        <f t="shared" si="84"/>
        <v>1.0000103985164246</v>
      </c>
      <c r="AU57">
        <f t="shared" si="85"/>
        <v>4.5603566346918622E-3</v>
      </c>
      <c r="AV57" t="str">
        <f t="shared" si="52"/>
        <v>1+0,00456038824864315i</v>
      </c>
      <c r="AW57">
        <f t="shared" si="86"/>
        <v>1.0000103985164246</v>
      </c>
      <c r="AX57">
        <f t="shared" si="87"/>
        <v>4.5603566346918622E-3</v>
      </c>
      <c r="AY57" t="str">
        <f t="shared" si="53"/>
        <v>1-5,58166192585004i</v>
      </c>
      <c r="AZ57">
        <f t="shared" si="88"/>
        <v>5.6705334717717664</v>
      </c>
      <c r="BA57">
        <f t="shared" si="89"/>
        <v>-1.3935189771337244</v>
      </c>
      <c r="BB57" s="58" t="str">
        <f t="shared" si="90"/>
        <v>-1,03116091953044+5,91074958201328i</v>
      </c>
      <c r="BC57">
        <f t="shared" si="91"/>
        <v>15.563055584700011</v>
      </c>
      <c r="BD57" s="60">
        <f t="shared" si="92"/>
        <v>99.895954750607743</v>
      </c>
      <c r="BE57" s="58" t="str">
        <f t="shared" si="93"/>
        <v>-0,784775218176886+81,3195629487589i</v>
      </c>
      <c r="BF57" s="37">
        <f t="shared" si="94"/>
        <v>38.204305166967572</v>
      </c>
      <c r="BG57" s="60">
        <f t="shared" si="95"/>
        <v>90.552916302530249</v>
      </c>
      <c r="BH57" s="58" t="str">
        <f t="shared" si="96"/>
        <v>-11,7975925858141+125,224047412681i</v>
      </c>
      <c r="BI57" s="37">
        <f t="shared" si="97"/>
        <v>41.992132115313943</v>
      </c>
      <c r="BJ57" s="60">
        <f t="shared" si="98"/>
        <v>95.382056969192575</v>
      </c>
      <c r="BK57">
        <f t="shared" si="99"/>
        <v>38.204305166967572</v>
      </c>
      <c r="BL57" s="60">
        <f t="shared" si="100"/>
        <v>90.552916302530249</v>
      </c>
      <c r="BN57">
        <f t="shared" si="101"/>
        <v>0</v>
      </c>
      <c r="BO57">
        <f t="shared" si="102"/>
        <v>0</v>
      </c>
    </row>
    <row r="58" spans="1:67" x14ac:dyDescent="0.25">
      <c r="C58" s="70"/>
      <c r="M58" s="66">
        <v>40</v>
      </c>
      <c r="N58" s="36">
        <f t="shared" si="54"/>
        <v>25.118864315095799</v>
      </c>
      <c r="O58" s="91" t="str">
        <f t="shared" si="55"/>
        <v>13,7404580152672</v>
      </c>
      <c r="P58" s="67" t="str">
        <f t="shared" si="56"/>
        <v>1+0,17045259753346i</v>
      </c>
      <c r="Q58" s="67">
        <f t="shared" si="57"/>
        <v>1.0144230320758216</v>
      </c>
      <c r="R58" s="67">
        <f t="shared" si="58"/>
        <v>0.16883000908782389</v>
      </c>
      <c r="S58" s="67" t="str">
        <f t="shared" si="59"/>
        <v>1+0,00473479437592945i</v>
      </c>
      <c r="T58" s="67">
        <f t="shared" si="60"/>
        <v>1.0000112090760696</v>
      </c>
      <c r="U58" s="67">
        <f t="shared" si="61"/>
        <v>4.7347589944268442E-3</v>
      </c>
      <c r="V58" t="str">
        <f t="shared" si="62"/>
        <v>1-0,0009864154949853i</v>
      </c>
      <c r="W58" s="67">
        <f t="shared" si="63"/>
        <v>1.0000004865076462</v>
      </c>
      <c r="X58" s="67">
        <f t="shared" si="64"/>
        <v>-9.8641517505295524E-4</v>
      </c>
      <c r="Y58" t="str">
        <f t="shared" si="65"/>
        <v>0,99999995961873+0,00171159403140045i</v>
      </c>
      <c r="Z58" s="67">
        <f t="shared" si="66"/>
        <v>1.0000014243947806</v>
      </c>
      <c r="AA58" s="67">
        <f t="shared" si="67"/>
        <v>1.7115924291170753E-3</v>
      </c>
      <c r="AB58" s="92" t="str">
        <f t="shared" si="68"/>
        <v>13,357258010322-2,2487931587199i</v>
      </c>
      <c r="AC58" s="37">
        <f t="shared" si="69"/>
        <v>22.635731380127755</v>
      </c>
      <c r="AD58" s="60">
        <f t="shared" si="70"/>
        <v>-9.5565497173085188</v>
      </c>
      <c r="AE58" t="str">
        <f t="shared" si="71"/>
        <v>21,0353732052265</v>
      </c>
      <c r="AF58" t="str">
        <f t="shared" si="72"/>
        <v>1+0,08522629876673i</v>
      </c>
      <c r="AG58">
        <f t="shared" si="73"/>
        <v>1.0036251899994717</v>
      </c>
      <c r="AH58">
        <f t="shared" si="74"/>
        <v>8.5020845715124554E-2</v>
      </c>
      <c r="AI58" t="str">
        <f t="shared" si="50"/>
        <v>1+0,00473479437592945i</v>
      </c>
      <c r="AJ58">
        <f t="shared" si="75"/>
        <v>1.0000112090760696</v>
      </c>
      <c r="AK58">
        <f t="shared" si="76"/>
        <v>4.7347589944268442E-3</v>
      </c>
      <c r="AL58" t="str">
        <f t="shared" si="77"/>
        <v>1-0,000322161951611851i</v>
      </c>
      <c r="AM58">
        <f t="shared" si="78"/>
        <v>1.0000000518941601</v>
      </c>
      <c r="AN58">
        <f t="shared" si="79"/>
        <v>-3.2216194046630212E-4</v>
      </c>
      <c r="AO58" s="58" t="str">
        <f t="shared" si="80"/>
        <v>20,8915697373337-1,68768979427697i</v>
      </c>
      <c r="AP58">
        <f t="shared" si="81"/>
        <v>26.427671179852815</v>
      </c>
      <c r="AQ58" s="60">
        <f t="shared" si="82"/>
        <v>-4.6185124422257591</v>
      </c>
      <c r="AR58" t="str">
        <f t="shared" si="83"/>
        <v>-1,05811623246493</v>
      </c>
      <c r="AS58" t="str">
        <f t="shared" si="51"/>
        <v>1+0,00466661333691606i</v>
      </c>
      <c r="AT58">
        <f t="shared" si="84"/>
        <v>1.0000108885807375</v>
      </c>
      <c r="AU58">
        <f t="shared" si="85"/>
        <v>4.6665794619768618E-3</v>
      </c>
      <c r="AV58" t="str">
        <f t="shared" si="52"/>
        <v>1+0,00466661333691606i</v>
      </c>
      <c r="AW58">
        <f t="shared" si="86"/>
        <v>1.0000108885807375</v>
      </c>
      <c r="AX58">
        <f t="shared" si="87"/>
        <v>4.6665794619768618E-3</v>
      </c>
      <c r="AY58" t="str">
        <f t="shared" si="53"/>
        <v>1-5,45460778873253i</v>
      </c>
      <c r="AZ58">
        <f t="shared" si="88"/>
        <v>5.5455158577810941</v>
      </c>
      <c r="BA58">
        <f t="shared" si="89"/>
        <v>-1.3894785793628355</v>
      </c>
      <c r="BB58" s="58" t="str">
        <f t="shared" si="90"/>
        <v>-1,03115990887136+5,77642106757076i</v>
      </c>
      <c r="BC58">
        <f t="shared" si="91"/>
        <v>15.369411992218279</v>
      </c>
      <c r="BD58" s="60">
        <f t="shared" si="92"/>
        <v>100.12136637074239</v>
      </c>
      <c r="BE58" s="58" t="str">
        <f t="shared" si="93"/>
        <v>-0,783492774056255+79,4760119244184i</v>
      </c>
      <c r="BF58" s="37">
        <f t="shared" si="94"/>
        <v>38.005143372346033</v>
      </c>
      <c r="BG58" s="60">
        <f t="shared" si="95"/>
        <v>90.564816653433894</v>
      </c>
      <c r="BH58" s="58" t="str">
        <f t="shared" si="96"/>
        <v>-11,793742263343+122,418781619828i</v>
      </c>
      <c r="BI58" s="37">
        <f t="shared" si="97"/>
        <v>41.797083172071098</v>
      </c>
      <c r="BJ58" s="60">
        <f t="shared" si="98"/>
        <v>95.502853928516629</v>
      </c>
      <c r="BK58">
        <f t="shared" si="99"/>
        <v>38.005143372346033</v>
      </c>
      <c r="BL58" s="60">
        <f t="shared" si="100"/>
        <v>90.564816653433894</v>
      </c>
      <c r="BN58">
        <f t="shared" si="101"/>
        <v>0</v>
      </c>
      <c r="BO58">
        <f t="shared" si="102"/>
        <v>0</v>
      </c>
    </row>
    <row r="59" spans="1:67" x14ac:dyDescent="0.25">
      <c r="A59" t="s">
        <v>496</v>
      </c>
      <c r="B59" s="23">
        <f>-(Rcomp_S) / (RFBT)</f>
        <v>-1.0581162324649298</v>
      </c>
      <c r="C59" t="s">
        <v>118</v>
      </c>
      <c r="E59" t="s">
        <v>704</v>
      </c>
      <c r="J59" t="s">
        <v>419</v>
      </c>
      <c r="K59" s="23">
        <f>-(Rcomp_S)/(RFB_TOP)</f>
        <v>-1.0581162324649298</v>
      </c>
      <c r="L59" t="s">
        <v>118</v>
      </c>
      <c r="M59" s="66">
        <v>41</v>
      </c>
      <c r="N59" s="36">
        <f t="shared" si="54"/>
        <v>25.703957827688647</v>
      </c>
      <c r="O59" s="91" t="str">
        <f t="shared" si="55"/>
        <v>13,7404580152672</v>
      </c>
      <c r="P59" s="67" t="str">
        <f t="shared" si="56"/>
        <v>1+0,174422948572041i</v>
      </c>
      <c r="Q59" s="67">
        <f t="shared" si="57"/>
        <v>1.015097712039863</v>
      </c>
      <c r="R59" s="67">
        <f t="shared" si="58"/>
        <v>0.17268570728723412</v>
      </c>
      <c r="S59" s="67" t="str">
        <f t="shared" si="59"/>
        <v>1+0,00484508190477891i</v>
      </c>
      <c r="T59" s="67">
        <f t="shared" si="60"/>
        <v>1.0000117373404493</v>
      </c>
      <c r="U59" s="67">
        <f t="shared" si="61"/>
        <v>4.8450439928398514E-3</v>
      </c>
      <c r="V59" t="str">
        <f t="shared" si="62"/>
        <v>1-0,00100939206349561i</v>
      </c>
      <c r="W59" s="67">
        <f t="shared" si="63"/>
        <v>1.0000005094360391</v>
      </c>
      <c r="X59" s="67">
        <f t="shared" si="64"/>
        <v>-1.0093917206819357E-3</v>
      </c>
      <c r="Y59" t="str">
        <f t="shared" si="65"/>
        <v>0,999999957715619+0,00175146217796164i</v>
      </c>
      <c r="Z59" s="67">
        <f t="shared" si="66"/>
        <v>1.0000014915243878</v>
      </c>
      <c r="AA59" s="67">
        <f t="shared" si="67"/>
        <v>1.7514604610842106E-3</v>
      </c>
      <c r="AB59" s="92" t="str">
        <f t="shared" si="68"/>
        <v>13,3397315623708-2,29811727491973i</v>
      </c>
      <c r="AC59" s="37">
        <f t="shared" si="69"/>
        <v>22.629960629161388</v>
      </c>
      <c r="AD59" s="60">
        <f t="shared" si="70"/>
        <v>-9.7747468153197552</v>
      </c>
      <c r="AE59" t="str">
        <f t="shared" si="71"/>
        <v>21,0353732052265</v>
      </c>
      <c r="AF59" t="str">
        <f t="shared" si="72"/>
        <v>1+0,0872114742860205i</v>
      </c>
      <c r="AG59">
        <f t="shared" si="73"/>
        <v>1.0037957168902152</v>
      </c>
      <c r="AH59">
        <f t="shared" si="74"/>
        <v>8.6991372309933063E-2</v>
      </c>
      <c r="AI59" t="str">
        <f t="shared" si="50"/>
        <v>1+0,00484508190477891i</v>
      </c>
      <c r="AJ59">
        <f t="shared" si="75"/>
        <v>1.0000117373404493</v>
      </c>
      <c r="AK59">
        <f t="shared" si="76"/>
        <v>4.8450439928398514E-3</v>
      </c>
      <c r="AL59" t="str">
        <f t="shared" si="77"/>
        <v>1-0,000329666067463898i</v>
      </c>
      <c r="AM59">
        <f t="shared" si="78"/>
        <v>1.0000000543398566</v>
      </c>
      <c r="AN59">
        <f t="shared" si="79"/>
        <v>-3.2966605552122726E-4</v>
      </c>
      <c r="AO59" s="58" t="str">
        <f t="shared" si="80"/>
        <v>20,884843646268-1,72641454730935i</v>
      </c>
      <c r="AP59">
        <f t="shared" si="81"/>
        <v>26.426200087256831</v>
      </c>
      <c r="AQ59" s="60">
        <f t="shared" si="82"/>
        <v>-4.7255263886955374</v>
      </c>
      <c r="AR59" t="str">
        <f t="shared" si="83"/>
        <v>-1,05811623246493</v>
      </c>
      <c r="AS59" t="str">
        <f t="shared" si="51"/>
        <v>1+0,0047753127253501i</v>
      </c>
      <c r="AT59">
        <f t="shared" si="84"/>
        <v>1.0000114017408126</v>
      </c>
      <c r="AU59">
        <f t="shared" si="85"/>
        <v>4.7752764277211365E-3</v>
      </c>
      <c r="AV59" t="str">
        <f t="shared" si="52"/>
        <v>1+0,0047753127253501i</v>
      </c>
      <c r="AW59">
        <f t="shared" si="86"/>
        <v>1.0000114017408126</v>
      </c>
      <c r="AX59">
        <f t="shared" si="87"/>
        <v>4.7752764277211365E-3</v>
      </c>
      <c r="AY59" t="str">
        <f t="shared" si="53"/>
        <v>1-5,33044575686492i</v>
      </c>
      <c r="AZ59">
        <f t="shared" si="88"/>
        <v>5.4234354395419171</v>
      </c>
      <c r="BA59">
        <f t="shared" si="89"/>
        <v>-1.3853502568447937</v>
      </c>
      <c r="BB59" s="58" t="str">
        <f t="shared" si="90"/>
        <v>-1,03115885058351+5,64515528759363i</v>
      </c>
      <c r="BC59">
        <f t="shared" si="91"/>
        <v>15.176057998340212</v>
      </c>
      <c r="BD59" s="60">
        <f t="shared" si="92"/>
        <v>100.35167395011204</v>
      </c>
      <c r="BE59" s="58" t="str">
        <f t="shared" si="93"/>
        <v>-0,782153378923466+77,6745801321095i</v>
      </c>
      <c r="BF59" s="37">
        <f t="shared" si="94"/>
        <v>37.806018627501601</v>
      </c>
      <c r="BG59" s="60">
        <f t="shared" si="95"/>
        <v>90.576927134792271</v>
      </c>
      <c r="BH59" s="58" t="str">
        <f t="shared" si="96"/>
        <v>-11,7897131585801+119,67839318053i</v>
      </c>
      <c r="BI59" s="37">
        <f t="shared" si="97"/>
        <v>41.602258085597029</v>
      </c>
      <c r="BJ59" s="60">
        <f t="shared" si="98"/>
        <v>95.626147561416516</v>
      </c>
      <c r="BK59">
        <f t="shared" si="99"/>
        <v>37.806018627501601</v>
      </c>
      <c r="BL59" s="60">
        <f t="shared" si="100"/>
        <v>90.576927134792271</v>
      </c>
      <c r="BN59">
        <f t="shared" si="101"/>
        <v>0</v>
      </c>
      <c r="BO59">
        <f t="shared" si="102"/>
        <v>0</v>
      </c>
    </row>
    <row r="60" spans="1:67" x14ac:dyDescent="0.25">
      <c r="A60" t="s">
        <v>497</v>
      </c>
      <c r="B60" s="23">
        <f>1/(Rcomp_S*Ccomp_S)</f>
        <v>860.88154269972449</v>
      </c>
      <c r="C60" t="s">
        <v>489</v>
      </c>
      <c r="E60" t="s">
        <v>505</v>
      </c>
      <c r="M60" s="66">
        <v>42</v>
      </c>
      <c r="N60" s="36">
        <f t="shared" si="54"/>
        <v>26.302679918953825</v>
      </c>
      <c r="O60" s="91" t="str">
        <f t="shared" si="55"/>
        <v>13,7404580152672</v>
      </c>
      <c r="P60" s="67" t="str">
        <f t="shared" si="56"/>
        <v>1+0,178485780966715i</v>
      </c>
      <c r="Q60" s="67">
        <f t="shared" si="57"/>
        <v>1.0158037084039899</v>
      </c>
      <c r="R60" s="67">
        <f t="shared" si="58"/>
        <v>0.17662585394742616</v>
      </c>
      <c r="S60" s="67" t="str">
        <f t="shared" si="59"/>
        <v>1+0,00495793836018654i</v>
      </c>
      <c r="T60" s="67">
        <f t="shared" si="60"/>
        <v>1.0000122905008635</v>
      </c>
      <c r="U60" s="67">
        <f t="shared" si="61"/>
        <v>4.9578977368389052E-3</v>
      </c>
      <c r="V60" t="str">
        <f t="shared" si="62"/>
        <v>1-0,00103290382503886i</v>
      </c>
      <c r="W60" s="67">
        <f t="shared" si="63"/>
        <v>1.0000005334450137</v>
      </c>
      <c r="X60" s="67">
        <f t="shared" si="64"/>
        <v>-1.0329034577074006E-3</v>
      </c>
      <c r="Y60" t="str">
        <f t="shared" si="65"/>
        <v>0,999999955722818+0,00179225897295293i</v>
      </c>
      <c r="Z60" s="67">
        <f t="shared" si="66"/>
        <v>1.0000015618177123</v>
      </c>
      <c r="AA60" s="67">
        <f t="shared" si="67"/>
        <v>1.7922571332857739E-3</v>
      </c>
      <c r="AB60" s="92" t="str">
        <f t="shared" si="68"/>
        <v>13,3214289734549-2,34838056089176i</v>
      </c>
      <c r="AC60" s="37">
        <f t="shared" si="69"/>
        <v>22.623926130339438</v>
      </c>
      <c r="AD60" s="60">
        <f t="shared" si="70"/>
        <v>-9.9977191468139139</v>
      </c>
      <c r="AE60" t="str">
        <f t="shared" si="71"/>
        <v>21,0353732052265</v>
      </c>
      <c r="AF60" t="str">
        <f t="shared" si="72"/>
        <v>1+0,0892428904833578i</v>
      </c>
      <c r="AG60">
        <f t="shared" si="73"/>
        <v>1.0039742494216795</v>
      </c>
      <c r="AH60">
        <f t="shared" si="74"/>
        <v>8.9007097359731641E-2</v>
      </c>
      <c r="AI60" t="str">
        <f t="shared" si="50"/>
        <v>1+0,00495793836018654i</v>
      </c>
      <c r="AJ60">
        <f t="shared" si="75"/>
        <v>1.0000122905008635</v>
      </c>
      <c r="AK60">
        <f t="shared" si="76"/>
        <v>4.9578977368389052E-3</v>
      </c>
      <c r="AL60" t="str">
        <f t="shared" si="77"/>
        <v>1-0,00033734497662856i</v>
      </c>
      <c r="AM60">
        <f t="shared" si="78"/>
        <v>1.0000000569008149</v>
      </c>
      <c r="AN60">
        <f t="shared" si="79"/>
        <v>-3.3734496383175773E-4</v>
      </c>
      <c r="AO60" s="58" t="str">
        <f t="shared" si="80"/>
        <v>20,8778054608896-1,76599980002628i</v>
      </c>
      <c r="AP60">
        <f t="shared" si="81"/>
        <v>26.424660201447196</v>
      </c>
      <c r="AQ60" s="60">
        <f t="shared" si="82"/>
        <v>-4.8349928525118626</v>
      </c>
      <c r="AR60" t="str">
        <f t="shared" si="83"/>
        <v>-1,05811623246493</v>
      </c>
      <c r="AS60" t="str">
        <f t="shared" si="51"/>
        <v>1+0,00488654404779986i</v>
      </c>
      <c r="AT60">
        <f t="shared" si="84"/>
        <v>1.0000119390850948</v>
      </c>
      <c r="AU60">
        <f t="shared" si="85"/>
        <v>4.8865051542147705E-3</v>
      </c>
      <c r="AV60" t="str">
        <f t="shared" si="52"/>
        <v>1+0,00488654404779986i</v>
      </c>
      <c r="AW60">
        <f t="shared" si="86"/>
        <v>1.0000119390850948</v>
      </c>
      <c r="AX60">
        <f t="shared" si="87"/>
        <v>4.8865051542147705E-3</v>
      </c>
      <c r="AY60" t="str">
        <f t="shared" si="53"/>
        <v>1-5,20910999789437i</v>
      </c>
      <c r="AZ60">
        <f t="shared" si="88"/>
        <v>5.3042272736151759</v>
      </c>
      <c r="BA60">
        <f t="shared" si="89"/>
        <v>-1.3811323838372711</v>
      </c>
      <c r="BB60" s="58" t="str">
        <f t="shared" si="90"/>
        <v>-1,03115774242241+5,51688264319597i</v>
      </c>
      <c r="BC60">
        <f t="shared" si="91"/>
        <v>14.983006323023098</v>
      </c>
      <c r="BD60" s="60">
        <f t="shared" si="92"/>
        <v>100.5869673353765</v>
      </c>
      <c r="BE60" s="58" t="str">
        <f t="shared" si="93"/>
        <v>-0,78075467010567+75,9143110837391i</v>
      </c>
      <c r="BF60" s="37">
        <f t="shared" si="94"/>
        <v>37.606932453362539</v>
      </c>
      <c r="BG60" s="60">
        <f t="shared" si="95"/>
        <v>90.589248188562578</v>
      </c>
      <c r="BH60" s="58" t="str">
        <f t="shared" si="96"/>
        <v>-11,7854971011326+117,001426942117i</v>
      </c>
      <c r="BI60" s="37">
        <f t="shared" si="97"/>
        <v>41.407666524470265</v>
      </c>
      <c r="BJ60" s="60">
        <f t="shared" si="98"/>
        <v>95.751974482864625</v>
      </c>
      <c r="BK60">
        <f t="shared" si="99"/>
        <v>37.606932453362539</v>
      </c>
      <c r="BL60" s="60">
        <f t="shared" si="100"/>
        <v>90.589248188562578</v>
      </c>
      <c r="BN60">
        <f t="shared" si="101"/>
        <v>0</v>
      </c>
      <c r="BO60">
        <f t="shared" si="102"/>
        <v>0</v>
      </c>
    </row>
    <row r="61" spans="1:67" x14ac:dyDescent="0.25">
      <c r="A61" t="s">
        <v>498</v>
      </c>
      <c r="B61" s="23">
        <f>1/(Rcomp_S*CHF_S)</f>
        <v>33820.346320346318</v>
      </c>
      <c r="C61" t="s">
        <v>489</v>
      </c>
      <c r="E61" t="s">
        <v>506</v>
      </c>
      <c r="J61" t="s">
        <v>513</v>
      </c>
      <c r="K61" s="23">
        <f>1/(Rcomp_S*(1/(1/CHF_S+1/Ccomp_S)))</f>
        <v>34681.227863046042</v>
      </c>
      <c r="L61" t="s">
        <v>489</v>
      </c>
      <c r="M61" s="66">
        <v>43</v>
      </c>
      <c r="N61" s="36">
        <f t="shared" si="54"/>
        <v>26.915348039269158</v>
      </c>
      <c r="O61" s="91" t="str">
        <f t="shared" si="55"/>
        <v>13,7404580152672</v>
      </c>
      <c r="P61" s="67" t="str">
        <f t="shared" si="56"/>
        <v>1+0,182643248884998i</v>
      </c>
      <c r="Q61" s="67">
        <f t="shared" si="57"/>
        <v>1.0165424518254351</v>
      </c>
      <c r="R61" s="67">
        <f t="shared" si="58"/>
        <v>0.18065204858468156</v>
      </c>
      <c r="S61" s="67" t="str">
        <f t="shared" si="59"/>
        <v>1+0,00507342358013884i</v>
      </c>
      <c r="T61" s="67">
        <f t="shared" si="60"/>
        <v>1.0000128697305968</v>
      </c>
      <c r="U61" s="67">
        <f t="shared" si="61"/>
        <v>5.0733800514678618E-3</v>
      </c>
      <c r="V61" t="str">
        <f t="shared" si="62"/>
        <v>1-0,00105696324586226i</v>
      </c>
      <c r="W61" s="67">
        <f t="shared" si="63"/>
        <v>1.0000005585854954</v>
      </c>
      <c r="X61" s="67">
        <f t="shared" si="64"/>
        <v>-1.0569628522595215E-3</v>
      </c>
      <c r="Y61" t="str">
        <f t="shared" si="65"/>
        <v>0,999999953636099+0,00183400604737504i</v>
      </c>
      <c r="Z61" s="67">
        <f t="shared" si="66"/>
        <v>1.0000016354238535</v>
      </c>
      <c r="AA61" s="67">
        <f t="shared" si="67"/>
        <v>1.8340040761363407E-3</v>
      </c>
      <c r="AB61" s="92" t="str">
        <f t="shared" si="68"/>
        <v>13,3023182473981-2,39959093668503i</v>
      </c>
      <c r="AC61" s="37">
        <f t="shared" si="69"/>
        <v>22.617616221543035</v>
      </c>
      <c r="AD61" s="60">
        <f t="shared" si="70"/>
        <v>-10.225556883188593</v>
      </c>
      <c r="AE61" t="str">
        <f t="shared" si="71"/>
        <v>21,0353732052265</v>
      </c>
      <c r="AF61" t="str">
        <f t="shared" si="72"/>
        <v>1+0,091321624442499i</v>
      </c>
      <c r="AG61">
        <f t="shared" si="73"/>
        <v>1.0041611619111828</v>
      </c>
      <c r="AH61">
        <f t="shared" si="74"/>
        <v>9.1069024070808122E-2</v>
      </c>
      <c r="AI61" t="str">
        <f t="shared" si="50"/>
        <v>1+0,00507342358013884i</v>
      </c>
      <c r="AJ61">
        <f t="shared" si="75"/>
        <v>1.0000128697305968</v>
      </c>
      <c r="AK61">
        <f t="shared" si="76"/>
        <v>5.0733800514678618E-3</v>
      </c>
      <c r="AL61" t="str">
        <f t="shared" si="77"/>
        <v>1-0,000345202750565121i</v>
      </c>
      <c r="AM61">
        <f t="shared" si="78"/>
        <v>1.0000000595824678</v>
      </c>
      <c r="AN61">
        <f t="shared" si="79"/>
        <v>-3.4520273685310037E-4</v>
      </c>
      <c r="AO61" s="58" t="str">
        <f t="shared" si="80"/>
        <v>20,8704409393313-1,80646267966416i</v>
      </c>
      <c r="AP61">
        <f t="shared" si="81"/>
        <v>26.423048331712799</v>
      </c>
      <c r="AQ61" s="60">
        <f t="shared" si="82"/>
        <v>-4.9469661187156833</v>
      </c>
      <c r="AR61" t="str">
        <f t="shared" si="83"/>
        <v>-1,05811623246493</v>
      </c>
      <c r="AS61" t="str">
        <f t="shared" si="51"/>
        <v>1+0,00500036628058483i</v>
      </c>
      <c r="AT61">
        <f t="shared" si="84"/>
        <v>1.0000125017533232</v>
      </c>
      <c r="AU61">
        <f t="shared" si="85"/>
        <v>5.0003246053856951E-3</v>
      </c>
      <c r="AV61" t="str">
        <f t="shared" si="52"/>
        <v>1+0,00500036628058483i</v>
      </c>
      <c r="AW61">
        <f t="shared" si="86"/>
        <v>1.0000125017533232</v>
      </c>
      <c r="AX61">
        <f t="shared" si="87"/>
        <v>5.0003246053856951E-3</v>
      </c>
      <c r="AY61" t="str">
        <f t="shared" si="53"/>
        <v>1-5,09053617799541i</v>
      </c>
      <c r="AZ61">
        <f t="shared" si="88"/>
        <v>5.1878279250067756</v>
      </c>
      <c r="BA61">
        <f t="shared" si="89"/>
        <v>-1.376823324562563</v>
      </c>
      <c r="BB61" s="58" t="str">
        <f t="shared" si="90"/>
        <v>-1,03115658203784+5,39153512248975i</v>
      </c>
      <c r="BC61">
        <f t="shared" si="91"/>
        <v>14.790270200902178</v>
      </c>
      <c r="BD61" s="60">
        <f t="shared" si="92"/>
        <v>100.82733687131037</v>
      </c>
      <c r="BE61" s="58" t="str">
        <f t="shared" si="93"/>
        <v>-0,7792942024212+74,1942700299443i</v>
      </c>
      <c r="BF61" s="37">
        <f t="shared" si="94"/>
        <v>37.407886422445216</v>
      </c>
      <c r="BG61" s="60">
        <f t="shared" si="95"/>
        <v>90.601779988121763</v>
      </c>
      <c r="BH61" s="58" t="str">
        <f t="shared" si="96"/>
        <v>-11,7810855597472+114,386461228594i</v>
      </c>
      <c r="BI61" s="37">
        <f t="shared" si="97"/>
        <v>41.213318532614963</v>
      </c>
      <c r="BJ61" s="60">
        <f t="shared" si="98"/>
        <v>95.880370752594686</v>
      </c>
      <c r="BK61">
        <f t="shared" si="99"/>
        <v>37.407886422445216</v>
      </c>
      <c r="BL61" s="60">
        <f t="shared" si="100"/>
        <v>90.601779988121763</v>
      </c>
      <c r="BN61">
        <f t="shared" si="101"/>
        <v>0</v>
      </c>
      <c r="BO61">
        <f t="shared" si="102"/>
        <v>0</v>
      </c>
    </row>
    <row r="62" spans="1:67" x14ac:dyDescent="0.25">
      <c r="A62" t="s">
        <v>499</v>
      </c>
      <c r="B62" s="23">
        <f>1/(Rcomp_S*CHF_S)</f>
        <v>33820.346320346318</v>
      </c>
      <c r="C62" t="s">
        <v>489</v>
      </c>
      <c r="E62" t="s">
        <v>507</v>
      </c>
      <c r="M62" s="66">
        <v>44</v>
      </c>
      <c r="N62" s="36">
        <f t="shared" si="54"/>
        <v>27.542287033381665</v>
      </c>
      <c r="O62" s="91" t="str">
        <f t="shared" si="55"/>
        <v>13,7404580152672</v>
      </c>
      <c r="P62" s="67" t="str">
        <f t="shared" si="56"/>
        <v>1+0,186897556671408i</v>
      </c>
      <c r="Q62" s="67">
        <f t="shared" si="57"/>
        <v>1.0173154361798225</v>
      </c>
      <c r="R62" s="67">
        <f t="shared" si="58"/>
        <v>0.1847659035583244</v>
      </c>
      <c r="S62" s="67" t="str">
        <f t="shared" si="59"/>
        <v>1+0,00519159879642802i</v>
      </c>
      <c r="T62" s="67">
        <f t="shared" si="60"/>
        <v>1.0000134762582267</v>
      </c>
      <c r="U62" s="67">
        <f t="shared" si="61"/>
        <v>5.1915521546506823E-3</v>
      </c>
      <c r="V62" t="str">
        <f t="shared" si="62"/>
        <v>1-0,00108158308258917i</v>
      </c>
      <c r="W62" s="67">
        <f t="shared" si="63"/>
        <v>1.0000005849108113</v>
      </c>
      <c r="X62" s="67">
        <f t="shared" si="64"/>
        <v>-1.0815826608362505E-3</v>
      </c>
      <c r="Y62" t="str">
        <f t="shared" si="65"/>
        <v>0,999999951451035+0,0018767255360794i</v>
      </c>
      <c r="Z62" s="67">
        <f t="shared" si="66"/>
        <v>1.0000017124989387</v>
      </c>
      <c r="AA62" s="67">
        <f t="shared" si="67"/>
        <v>1.8767234238592746E-3</v>
      </c>
      <c r="AB62" s="92" t="str">
        <f t="shared" si="68"/>
        <v>13,2823662899238-2,45175562911806i</v>
      </c>
      <c r="AC62" s="37">
        <f t="shared" si="69"/>
        <v>22.611018761535444</v>
      </c>
      <c r="AD62" s="60">
        <f t="shared" si="70"/>
        <v>-10.458350897390531</v>
      </c>
      <c r="AE62" t="str">
        <f t="shared" si="71"/>
        <v>21,0353732052265</v>
      </c>
      <c r="AF62" t="str">
        <f t="shared" si="72"/>
        <v>1+0,0934487783357043i</v>
      </c>
      <c r="AG62">
        <f t="shared" si="73"/>
        <v>1.0043568460325423</v>
      </c>
      <c r="AH62">
        <f t="shared" si="74"/>
        <v>9.3178175534258903E-2</v>
      </c>
      <c r="AI62" t="str">
        <f t="shared" si="50"/>
        <v>1+0,00519159879642802i</v>
      </c>
      <c r="AJ62">
        <f t="shared" si="75"/>
        <v>1.0000134762582267</v>
      </c>
      <c r="AK62">
        <f t="shared" si="76"/>
        <v>5.1915521546506823E-3</v>
      </c>
      <c r="AL62" t="str">
        <f t="shared" si="77"/>
        <v>1-0,00035324355556933i</v>
      </c>
      <c r="AM62">
        <f t="shared" si="78"/>
        <v>1.0000000623905028</v>
      </c>
      <c r="AN62">
        <f t="shared" si="79"/>
        <v>-3.532435408766353E-4</v>
      </c>
      <c r="AO62" s="58" t="str">
        <f t="shared" si="80"/>
        <v>20,8627352127128-1,84782051017836i</v>
      </c>
      <c r="AP62">
        <f t="shared" si="81"/>
        <v>26.421361141867592</v>
      </c>
      <c r="AQ62" s="60">
        <f t="shared" si="82"/>
        <v>-5.0615015372911225</v>
      </c>
      <c r="AR62" t="str">
        <f t="shared" si="83"/>
        <v>-1,05811623246493</v>
      </c>
      <c r="AS62" t="str">
        <f t="shared" si="51"/>
        <v>1+0,00511683977375945i</v>
      </c>
      <c r="AT62">
        <f t="shared" si="84"/>
        <v>1.0000130909389489</v>
      </c>
      <c r="AU62">
        <f t="shared" si="85"/>
        <v>5.1167951180106008E-3</v>
      </c>
      <c r="AV62" t="str">
        <f t="shared" si="52"/>
        <v>1+0,00511683977375945i</v>
      </c>
      <c r="AW62">
        <f t="shared" si="86"/>
        <v>1.0000130909389489</v>
      </c>
      <c r="AX62">
        <f t="shared" si="87"/>
        <v>5.1167951180106008E-3</v>
      </c>
      <c r="AY62" t="str">
        <f t="shared" si="53"/>
        <v>1-4,97466142775924i</v>
      </c>
      <c r="AZ62">
        <f t="shared" si="88"/>
        <v>5.0741754326033703</v>
      </c>
      <c r="BA62">
        <f t="shared" si="89"/>
        <v>-1.3724214346932802</v>
      </c>
      <c r="BB62" s="58" t="str">
        <f t="shared" si="90"/>
        <v>-1,03115536696884+5,26904626452385i</v>
      </c>
      <c r="BC62">
        <f t="shared" si="91"/>
        <v>14.59786339803822</v>
      </c>
      <c r="BD62" s="60">
        <f t="shared" si="92"/>
        <v>101.07287331389061</v>
      </c>
      <c r="BE62" s="58" t="str">
        <f t="shared" si="93"/>
        <v>-0,777769446771089+72,5135434594217i</v>
      </c>
      <c r="BF62" s="37">
        <f t="shared" si="94"/>
        <v>37.208882159573669</v>
      </c>
      <c r="BG62" s="60">
        <f t="shared" si="95"/>
        <v>90.614522416500066</v>
      </c>
      <c r="BH62" s="58" t="str">
        <f t="shared" si="96"/>
        <v>-11,7764696275728+111,83210707656i</v>
      </c>
      <c r="BI62" s="37">
        <f t="shared" si="97"/>
        <v>41.019224539905814</v>
      </c>
      <c r="BJ62" s="60">
        <f t="shared" si="98"/>
        <v>96.011371776599503</v>
      </c>
      <c r="BK62">
        <f t="shared" si="99"/>
        <v>37.208882159573669</v>
      </c>
      <c r="BL62" s="60">
        <f t="shared" si="100"/>
        <v>90.614522416500066</v>
      </c>
      <c r="BN62">
        <f t="shared" si="101"/>
        <v>0</v>
      </c>
      <c r="BO62">
        <f t="shared" si="102"/>
        <v>0</v>
      </c>
    </row>
    <row r="63" spans="1:67" x14ac:dyDescent="0.25">
      <c r="M63" s="66">
        <v>45</v>
      </c>
      <c r="N63" s="36">
        <f t="shared" si="54"/>
        <v>28.183829312644548</v>
      </c>
      <c r="O63" s="91" t="str">
        <f t="shared" si="55"/>
        <v>13,7404580152672</v>
      </c>
      <c r="P63" s="67" t="str">
        <f t="shared" si="56"/>
        <v>1+0,191250960016247i</v>
      </c>
      <c r="Q63" s="67">
        <f t="shared" si="57"/>
        <v>1.018124221157289</v>
      </c>
      <c r="R63" s="67">
        <f t="shared" si="58"/>
        <v>0.18896904283934179</v>
      </c>
      <c r="S63" s="67" t="str">
        <f t="shared" si="59"/>
        <v>1+0,00531252666711799i</v>
      </c>
      <c r="T63" s="67">
        <f t="shared" si="60"/>
        <v>1.000014111370229</v>
      </c>
      <c r="U63" s="67">
        <f t="shared" si="61"/>
        <v>5.3124766895912313E-3</v>
      </c>
      <c r="V63" t="str">
        <f t="shared" si="62"/>
        <v>1-0,00110677638898291i</v>
      </c>
      <c r="W63" s="67">
        <f t="shared" si="63"/>
        <v>1.0000006124767999</v>
      </c>
      <c r="X63" s="67">
        <f t="shared" si="64"/>
        <v>-1.1067759370665296E-3</v>
      </c>
      <c r="Y63" t="str">
        <f t="shared" si="65"/>
        <v>0,999999949162993+0,0019204400895044i</v>
      </c>
      <c r="Z63" s="67">
        <f t="shared" si="66"/>
        <v>1.0000017932064551</v>
      </c>
      <c r="AA63" s="67">
        <f t="shared" si="67"/>
        <v>1.9204378262199777E-3</v>
      </c>
      <c r="AB63" s="92" t="str">
        <f t="shared" si="68"/>
        <v>13,2615388919525-2,50488110638863i</v>
      </c>
      <c r="AC63" s="37">
        <f t="shared" si="69"/>
        <v>22.604121113676264</v>
      </c>
      <c r="AD63" s="60">
        <f t="shared" si="70"/>
        <v>-10.696192692566207</v>
      </c>
      <c r="AE63" t="str">
        <f t="shared" si="71"/>
        <v>21,0353732052265</v>
      </c>
      <c r="AF63" t="str">
        <f t="shared" si="72"/>
        <v>1+0,0956254800081237i</v>
      </c>
      <c r="AG63">
        <f t="shared" si="73"/>
        <v>1.0045617116069994</v>
      </c>
      <c r="AH63">
        <f t="shared" si="74"/>
        <v>9.5335594947837887E-2</v>
      </c>
      <c r="AI63" t="str">
        <f t="shared" si="50"/>
        <v>1+0,00531252666711799i</v>
      </c>
      <c r="AJ63">
        <f t="shared" si="75"/>
        <v>1.000014111370229</v>
      </c>
      <c r="AK63">
        <f t="shared" si="76"/>
        <v>5.3124766895912313E-3</v>
      </c>
      <c r="AL63" t="str">
        <f t="shared" si="77"/>
        <v>1-0,000361471654982433i</v>
      </c>
      <c r="AM63">
        <f t="shared" si="78"/>
        <v>1.0000000653308765</v>
      </c>
      <c r="AN63">
        <f t="shared" si="79"/>
        <v>-3.6147163923892702E-4</v>
      </c>
      <c r="AO63" s="58" t="str">
        <f t="shared" si="80"/>
        <v>20,8546727597311-1,89009080312175i</v>
      </c>
      <c r="AP63">
        <f t="shared" si="81"/>
        <v>26.419595143858178</v>
      </c>
      <c r="AQ63" s="60">
        <f t="shared" si="82"/>
        <v>-5.1786555341467038</v>
      </c>
      <c r="AR63" t="str">
        <f t="shared" si="83"/>
        <v>-1,05811623246493</v>
      </c>
      <c r="AS63" t="str">
        <f t="shared" si="51"/>
        <v>1+0,00523602628311148i</v>
      </c>
      <c r="AT63">
        <f t="shared" si="84"/>
        <v>1.0000137078916655</v>
      </c>
      <c r="AU63">
        <f t="shared" si="85"/>
        <v>5.235978433649922E-3</v>
      </c>
      <c r="AV63" t="str">
        <f t="shared" si="52"/>
        <v>1+0,00523602628311148i</v>
      </c>
      <c r="AW63">
        <f t="shared" si="86"/>
        <v>1.0000137078916655</v>
      </c>
      <c r="AX63">
        <f t="shared" si="87"/>
        <v>5.235978433649922E-3</v>
      </c>
      <c r="AY63" t="str">
        <f t="shared" si="53"/>
        <v>1-4,86142430885951i</v>
      </c>
      <c r="AZ63">
        <f t="shared" si="88"/>
        <v>4.9632092753348784</v>
      </c>
      <c r="BA63">
        <f t="shared" si="89"/>
        <v>-1.3679250629654827</v>
      </c>
      <c r="BB63" s="58" t="str">
        <f t="shared" si="90"/>
        <v>-1,03115409463846+5,14935112404531i</v>
      </c>
      <c r="BC63">
        <f t="shared" si="91"/>
        <v>14.40580022882269</v>
      </c>
      <c r="BD63" s="60">
        <f t="shared" si="92"/>
        <v>101.32366773604082</v>
      </c>
      <c r="BE63" s="58" t="str">
        <f t="shared" si="93"/>
        <v>-0,776177788861853+70,8712386092813i</v>
      </c>
      <c r="BF63" s="37">
        <f t="shared" si="94"/>
        <v>37.009921342498949</v>
      </c>
      <c r="BG63" s="60">
        <f t="shared" si="95"/>
        <v>90.627475043474604</v>
      </c>
      <c r="BH63" s="58" t="str">
        <f t="shared" si="96"/>
        <v>-11,7716400069392+109,337007487796i</v>
      </c>
      <c r="BI63" s="37">
        <f t="shared" si="97"/>
        <v>40.825395372680866</v>
      </c>
      <c r="BJ63" s="60">
        <f t="shared" si="98"/>
        <v>96.145012201894119</v>
      </c>
      <c r="BK63">
        <f t="shared" si="99"/>
        <v>37.009921342498949</v>
      </c>
      <c r="BL63" s="60">
        <f t="shared" si="100"/>
        <v>90.627475043474604</v>
      </c>
      <c r="BN63">
        <f t="shared" si="101"/>
        <v>0</v>
      </c>
      <c r="BO63">
        <f t="shared" si="102"/>
        <v>0</v>
      </c>
    </row>
    <row r="64" spans="1:67" x14ac:dyDescent="0.25">
      <c r="A64" s="105" t="s">
        <v>705</v>
      </c>
      <c r="M64" s="66">
        <v>46</v>
      </c>
      <c r="N64" s="36">
        <f t="shared" si="54"/>
        <v>28.840315031266066</v>
      </c>
      <c r="O64" s="91" t="str">
        <f t="shared" si="55"/>
        <v>13,7404580152672</v>
      </c>
      <c r="P64" s="67" t="str">
        <f t="shared" si="56"/>
        <v>1+0,195705767151593i</v>
      </c>
      <c r="Q64" s="67">
        <f t="shared" si="57"/>
        <v>1.0189704349471547</v>
      </c>
      <c r="R64" s="67">
        <f t="shared" si="58"/>
        <v>0.19326310066501892</v>
      </c>
      <c r="S64" s="67" t="str">
        <f t="shared" si="59"/>
        <v>1+0,00543627130976647i</v>
      </c>
      <c r="T64" s="67">
        <f t="shared" si="60"/>
        <v>1.0000147764137055</v>
      </c>
      <c r="U64" s="67">
        <f t="shared" si="61"/>
        <v>5.4362177579244568E-3</v>
      </c>
      <c r="V64" t="str">
        <f t="shared" si="62"/>
        <v>1-0,00113255652286801i</v>
      </c>
      <c r="W64" s="67">
        <f t="shared" si="63"/>
        <v>1.0000006413419331</v>
      </c>
      <c r="X64" s="67">
        <f t="shared" si="64"/>
        <v>-1.1325560386309008E-3</v>
      </c>
      <c r="Y64" t="str">
        <f t="shared" si="65"/>
        <v>0,999999946767119+0,00196517288568487i</v>
      </c>
      <c r="Z64" s="67">
        <f t="shared" si="66"/>
        <v>1.000001877717593</v>
      </c>
      <c r="AA64" s="67">
        <f t="shared" si="67"/>
        <v>1.9651704605321636E-3</v>
      </c>
      <c r="AB64" s="92" t="str">
        <f t="shared" si="68"/>
        <v>13,2398007148832-2,55897300909936i</v>
      </c>
      <c r="AC64" s="37">
        <f t="shared" si="69"/>
        <v>22.596910129404748</v>
      </c>
      <c r="AD64" s="60">
        <f t="shared" si="70"/>
        <v>-10.939174324162328</v>
      </c>
      <c r="AE64" t="str">
        <f t="shared" si="71"/>
        <v>21,0353732052265</v>
      </c>
      <c r="AF64" t="str">
        <f t="shared" si="72"/>
        <v>1+0,0978528835757964i</v>
      </c>
      <c r="AG64">
        <f t="shared" si="73"/>
        <v>1.0047761874288712</v>
      </c>
      <c r="AH64">
        <f t="shared" si="74"/>
        <v>9.7542345826641674E-2</v>
      </c>
      <c r="AI64" t="str">
        <f t="shared" si="50"/>
        <v>1+0,00543627130976647i</v>
      </c>
      <c r="AJ64">
        <f t="shared" si="75"/>
        <v>1.0000147764137055</v>
      </c>
      <c r="AK64">
        <f t="shared" si="76"/>
        <v>5.4362177579244568E-3</v>
      </c>
      <c r="AL64" t="str">
        <f t="shared" si="77"/>
        <v>1-0,00036989141145165i</v>
      </c>
      <c r="AM64">
        <f t="shared" si="78"/>
        <v>1.0000000684098258</v>
      </c>
      <c r="AN64">
        <f t="shared" si="79"/>
        <v>-3.6989139458217944E-4</v>
      </c>
      <c r="AO64" s="58" t="str">
        <f t="shared" si="80"/>
        <v>20,8462373804354-1,93329124742065i</v>
      </c>
      <c r="AP64">
        <f t="shared" si="81"/>
        <v>26.417746691113674</v>
      </c>
      <c r="AQ64" s="60">
        <f t="shared" si="82"/>
        <v>-5.2984856214167095</v>
      </c>
      <c r="AR64" t="str">
        <f t="shared" si="83"/>
        <v>-1,05811623246493</v>
      </c>
      <c r="AS64" t="str">
        <f t="shared" si="51"/>
        <v>1+0,00535798900290583i</v>
      </c>
      <c r="AT64">
        <f t="shared" si="84"/>
        <v>1.0000143539200601</v>
      </c>
      <c r="AU64">
        <f t="shared" si="85"/>
        <v>5.3579377313237725E-3</v>
      </c>
      <c r="AV64" t="str">
        <f t="shared" si="52"/>
        <v>1+0,00535798900290583i</v>
      </c>
      <c r="AW64">
        <f t="shared" si="86"/>
        <v>1.0000143539200601</v>
      </c>
      <c r="AX64">
        <f t="shared" si="87"/>
        <v>5.3579377313237725E-3</v>
      </c>
      <c r="AY64" t="str">
        <f t="shared" si="53"/>
        <v>1-4,75076478147689i</v>
      </c>
      <c r="AZ64">
        <f t="shared" si="88"/>
        <v>4.8548703390431722</v>
      </c>
      <c r="BA64">
        <f t="shared" si="89"/>
        <v>-1.3633325529256692</v>
      </c>
      <c r="BB64" s="58" t="str">
        <f t="shared" si="90"/>
        <v>-1,03115276234836+5,03238623706438i</v>
      </c>
      <c r="BC64">
        <f t="shared" si="91"/>
        <v>14.214095572999971</v>
      </c>
      <c r="BD64" s="60">
        <f t="shared" si="92"/>
        <v>101.57981142566442</v>
      </c>
      <c r="BE64" s="58" t="str">
        <f t="shared" si="93"/>
        <v>-0,774516528082764+69,2664829861611i</v>
      </c>
      <c r="BF64" s="37">
        <f t="shared" si="94"/>
        <v>36.811005702404728</v>
      </c>
      <c r="BG64" s="60">
        <f t="shared" si="95"/>
        <v>90.640637101502094</v>
      </c>
      <c r="BH64" s="58" t="str">
        <f t="shared" si="96"/>
        <v>-11,7665869936489+106,899836698082i</v>
      </c>
      <c r="BI64" s="37">
        <f t="shared" si="97"/>
        <v>40.631842264113658</v>
      </c>
      <c r="BJ64" s="60">
        <f t="shared" si="98"/>
        <v>96.2813258042477</v>
      </c>
      <c r="BK64">
        <f t="shared" si="99"/>
        <v>36.811005702404728</v>
      </c>
      <c r="BL64" s="60">
        <f t="shared" si="100"/>
        <v>90.640637101502094</v>
      </c>
      <c r="BN64">
        <f t="shared" si="101"/>
        <v>0</v>
      </c>
      <c r="BO64">
        <f t="shared" si="102"/>
        <v>0</v>
      </c>
    </row>
    <row r="65" spans="1:67" x14ac:dyDescent="0.25">
      <c r="A65" t="s">
        <v>568</v>
      </c>
      <c r="B65" s="23">
        <f>SQRT((2*IOUT_vari*Lm*fsw*(VOUT-Vin_vari)/(Vin_vari^2)))</f>
        <v>1.0206207261596576</v>
      </c>
      <c r="M65" s="66">
        <v>47</v>
      </c>
      <c r="N65" s="36">
        <f t="shared" si="54"/>
        <v>29.512092266663863</v>
      </c>
      <c r="O65" s="91" t="str">
        <f t="shared" si="55"/>
        <v>13,7404580152672</v>
      </c>
      <c r="P65" s="67" t="str">
        <f t="shared" si="56"/>
        <v>1+0,200264340075153i</v>
      </c>
      <c r="Q65" s="67">
        <f t="shared" si="57"/>
        <v>1.0198557770124834</v>
      </c>
      <c r="R65" s="67">
        <f t="shared" si="58"/>
        <v>0.1976497200734525</v>
      </c>
      <c r="S65" s="67" t="str">
        <f t="shared" si="59"/>
        <v>1+0,00556289833542094i</v>
      </c>
      <c r="T65" s="67">
        <f t="shared" si="60"/>
        <v>1.0000154727992414</v>
      </c>
      <c r="U65" s="67">
        <f t="shared" si="61"/>
        <v>5.5628409536363438E-3</v>
      </c>
      <c r="V65" t="str">
        <f t="shared" si="62"/>
        <v>1-0,00115893715321269i</v>
      </c>
      <c r="W65" s="67">
        <f t="shared" si="63"/>
        <v>1.000000671567437</v>
      </c>
      <c r="X65" s="67">
        <f t="shared" si="64"/>
        <v>-1.1589366343432981E-3</v>
      </c>
      <c r="Y65" t="str">
        <f t="shared" si="65"/>
        <v>0,99999994425833+0,00201094764254148i</v>
      </c>
      <c r="Z65" s="67">
        <f t="shared" si="66"/>
        <v>1.0000019662116091</v>
      </c>
      <c r="AA65" s="67">
        <f t="shared" si="67"/>
        <v>2.010945043943814E-3</v>
      </c>
      <c r="AB65" s="92" t="str">
        <f t="shared" si="68"/>
        <v>13,2171152781388-2,61403607761694i</v>
      </c>
      <c r="AC65" s="37">
        <f t="shared" si="69"/>
        <v>22.589372131523248</v>
      </c>
      <c r="AD65" s="60">
        <f t="shared" si="70"/>
        <v>-11.18738831512678</v>
      </c>
      <c r="AE65" t="str">
        <f t="shared" si="71"/>
        <v>21,0353732052265</v>
      </c>
      <c r="AF65" t="str">
        <f t="shared" si="72"/>
        <v>1+0,100132170037577i</v>
      </c>
      <c r="AG65">
        <f t="shared" si="73"/>
        <v>1.0050007221273198</v>
      </c>
      <c r="AH65">
        <f t="shared" si="74"/>
        <v>9.9799512201309837E-2</v>
      </c>
      <c r="AI65" t="str">
        <f t="shared" si="50"/>
        <v>1+0,00556289833542094i</v>
      </c>
      <c r="AJ65">
        <f t="shared" si="75"/>
        <v>1.0000154727992414</v>
      </c>
      <c r="AK65">
        <f t="shared" si="76"/>
        <v>5.5628409536363438E-3</v>
      </c>
      <c r="AL65" t="str">
        <f t="shared" si="77"/>
        <v>1-0,00037850728924331i</v>
      </c>
      <c r="AM65">
        <f t="shared" si="78"/>
        <v>1.0000000716338815</v>
      </c>
      <c r="AN65">
        <f t="shared" si="79"/>
        <v>-3.785072711673467E-4</v>
      </c>
      <c r="AO65" s="58" t="str">
        <f t="shared" si="80"/>
        <v>20,8374121691811-1,97743969796933i</v>
      </c>
      <c r="AP65">
        <f t="shared" si="81"/>
        <v>26.415811971629267</v>
      </c>
      <c r="AQ65" s="60">
        <f t="shared" si="82"/>
        <v>-5.4210504070064083</v>
      </c>
      <c r="AR65" t="str">
        <f t="shared" si="83"/>
        <v>-1,05811623246493</v>
      </c>
      <c r="AS65" t="str">
        <f t="shared" si="51"/>
        <v>1+0,00548279259939087i</v>
      </c>
      <c r="AT65">
        <f t="shared" si="84"/>
        <v>1.0000150303943875</v>
      </c>
      <c r="AU65">
        <f t="shared" si="85"/>
        <v>5.4827376609454821E-3</v>
      </c>
      <c r="AV65" t="str">
        <f t="shared" si="52"/>
        <v>1+0,00548279259939087i</v>
      </c>
      <c r="AW65">
        <f t="shared" si="86"/>
        <v>1.0000150303943875</v>
      </c>
      <c r="AX65">
        <f t="shared" si="87"/>
        <v>5.4827376609454821E-3</v>
      </c>
      <c r="AY65" t="str">
        <f t="shared" si="53"/>
        <v>1-4,64262417246522i</v>
      </c>
      <c r="AZ65">
        <f t="shared" si="88"/>
        <v>4.7491008840367215</v>
      </c>
      <c r="BA65">
        <f t="shared" si="89"/>
        <v>-1.3586422448181095</v>
      </c>
      <c r="BB65" s="58" t="str">
        <f t="shared" si="90"/>
        <v>-1,03115136727306+4,91808958720485i</v>
      </c>
      <c r="BC65">
        <f t="shared" si="91"/>
        <v>14.022764892760172</v>
      </c>
      <c r="BD65" s="60">
        <f t="shared" si="92"/>
        <v>101.84139577559274</v>
      </c>
      <c r="BE65" s="58" t="str">
        <f t="shared" si="93"/>
        <v>-0,772782876552791+67,6984238978364i</v>
      </c>
      <c r="BF65" s="37">
        <f t="shared" si="94"/>
        <v>36.61213702428342</v>
      </c>
      <c r="BG65" s="60">
        <f t="shared" si="95"/>
        <v>90.654007460465962</v>
      </c>
      <c r="BH65" s="58" t="str">
        <f t="shared" si="96"/>
        <v>-11,7613004607749+104,519299461806i</v>
      </c>
      <c r="BI65" s="37">
        <f t="shared" si="97"/>
        <v>40.438576864389411</v>
      </c>
      <c r="BJ65" s="60">
        <f t="shared" si="98"/>
        <v>96.420345368586354</v>
      </c>
      <c r="BK65">
        <f t="shared" si="99"/>
        <v>36.61213702428342</v>
      </c>
      <c r="BL65" s="60">
        <f t="shared" si="100"/>
        <v>90.654007460465962</v>
      </c>
      <c r="BN65">
        <f t="shared" si="101"/>
        <v>0</v>
      </c>
      <c r="BO65">
        <f t="shared" si="102"/>
        <v>0</v>
      </c>
    </row>
    <row r="66" spans="1:67" x14ac:dyDescent="0.25">
      <c r="A66" t="s">
        <v>569</v>
      </c>
      <c r="B66" s="23">
        <f>(fsw*Gcomp)/((Rcs*ACS*(Vin_vari/Lm))+((R_sl+Rsl_int)*Isl))</f>
        <v>2.3854597639730697</v>
      </c>
      <c r="C66" t="s">
        <v>118</v>
      </c>
      <c r="M66" s="66">
        <v>48</v>
      </c>
      <c r="N66" s="36">
        <f t="shared" si="54"/>
        <v>30.199517204020164</v>
      </c>
      <c r="O66" s="91" t="str">
        <f t="shared" si="55"/>
        <v>13,7404580152672</v>
      </c>
      <c r="P66" s="67" t="str">
        <f t="shared" si="56"/>
        <v>1+0,204929095802634i</v>
      </c>
      <c r="Q66" s="67">
        <f t="shared" si="57"/>
        <v>1.0207820209557401</v>
      </c>
      <c r="R66" s="67">
        <f t="shared" si="58"/>
        <v>0.20213055131166746</v>
      </c>
      <c r="S66" s="67" t="str">
        <f t="shared" si="59"/>
        <v>1+0,00569247488340652i</v>
      </c>
      <c r="T66" s="67">
        <f t="shared" si="60"/>
        <v>1.0000162020038965</v>
      </c>
      <c r="U66" s="67">
        <f t="shared" si="61"/>
        <v>5.6924133977703578E-3</v>
      </c>
      <c r="V66" t="str">
        <f t="shared" si="62"/>
        <v>1-0,00118593226737636i</v>
      </c>
      <c r="W66" s="67">
        <f t="shared" si="63"/>
        <v>1.0000007032174241</v>
      </c>
      <c r="X66" s="67">
        <f t="shared" si="64"/>
        <v>-1.1859317113978108E-3</v>
      </c>
      <c r="Y66" t="str">
        <f t="shared" si="65"/>
        <v>0,999999941631306+0,0020577886304562i</v>
      </c>
      <c r="Z66" s="67">
        <f t="shared" si="66"/>
        <v>1.000002058876212</v>
      </c>
      <c r="AA66" s="67">
        <f t="shared" si="67"/>
        <v>2.0577858460089438E-3</v>
      </c>
      <c r="AB66" s="92" t="str">
        <f t="shared" si="68"/>
        <v>13,1934449492786-2,67007407569321i</v>
      </c>
      <c r="AC66" s="37">
        <f t="shared" si="69"/>
        <v>22.581492897316977</v>
      </c>
      <c r="AD66" s="60">
        <f t="shared" si="70"/>
        <v>-11.440927563846978</v>
      </c>
      <c r="AE66" t="str">
        <f t="shared" si="71"/>
        <v>21,0353732052265</v>
      </c>
      <c r="AF66" t="str">
        <f t="shared" si="72"/>
        <v>1+0,102464547901317i</v>
      </c>
      <c r="AG66">
        <f t="shared" si="73"/>
        <v>1.0052357850656837</v>
      </c>
      <c r="AH66">
        <f t="shared" si="74"/>
        <v>0.10210819880233245</v>
      </c>
      <c r="AI66" t="str">
        <f t="shared" si="50"/>
        <v>1+0,00569247488340652i</v>
      </c>
      <c r="AJ66">
        <f t="shared" si="75"/>
        <v>1.0000162020038965</v>
      </c>
      <c r="AK66">
        <f t="shared" si="76"/>
        <v>5.6924133977703578E-3</v>
      </c>
      <c r="AL66" t="str">
        <f t="shared" si="77"/>
        <v>1-0,000387323856609864i</v>
      </c>
      <c r="AM66">
        <f t="shared" si="78"/>
        <v>1.0000000750098821</v>
      </c>
      <c r="AN66">
        <f t="shared" si="79"/>
        <v>-3.8732383724112047E-4</v>
      </c>
      <c r="AO66" s="58" t="str">
        <f t="shared" si="80"/>
        <v>20,8281794867627-2,02255416295987i</v>
      </c>
      <c r="AP66">
        <f t="shared" si="81"/>
        <v>26.413787000775628</v>
      </c>
      <c r="AQ66" s="60">
        <f t="shared" si="82"/>
        <v>-5.5464096032991881</v>
      </c>
      <c r="AR66" t="str">
        <f t="shared" si="83"/>
        <v>-1,05811623246493</v>
      </c>
      <c r="AS66" t="str">
        <f t="shared" si="51"/>
        <v>1+0,00561050324508546i</v>
      </c>
      <c r="AT66">
        <f t="shared" si="84"/>
        <v>1.0000157387494775</v>
      </c>
      <c r="AU66">
        <f t="shared" si="85"/>
        <v>5.6104443775306665E-3</v>
      </c>
      <c r="AV66" t="str">
        <f t="shared" si="52"/>
        <v>1+0,00561050324508546i</v>
      </c>
      <c r="AW66">
        <f t="shared" si="86"/>
        <v>1.0000157387494775</v>
      </c>
      <c r="AX66">
        <f t="shared" si="87"/>
        <v>5.6104443775306665E-3</v>
      </c>
      <c r="AY66" t="str">
        <f t="shared" si="53"/>
        <v>1-4,53694514424218i</v>
      </c>
      <c r="AZ66">
        <f t="shared" si="88"/>
        <v>4.6458445133110837</v>
      </c>
      <c r="BA66">
        <f t="shared" si="89"/>
        <v>-1.3538524776190515</v>
      </c>
      <c r="BB66" s="58" t="str">
        <f t="shared" si="90"/>
        <v>-1,03114990645393+4,80640057282192i</v>
      </c>
      <c r="BC66">
        <f t="shared" si="91"/>
        <v>13.831824249851319</v>
      </c>
      <c r="BD66" s="60">
        <f t="shared" si="92"/>
        <v>102.10851216507318</v>
      </c>
      <c r="BE66" s="58" t="str">
        <f t="shared" si="93"/>
        <v>-0,770973958364902+66,1662279950832i</v>
      </c>
      <c r="BF66" s="37">
        <f t="shared" si="94"/>
        <v>36.413317147168293</v>
      </c>
      <c r="BG66" s="60">
        <f t="shared" si="95"/>
        <v>90.66758460122621</v>
      </c>
      <c r="BH66" s="58" t="str">
        <f t="shared" si="96"/>
        <v>-11,7557698419673+102,194130351948i</v>
      </c>
      <c r="BI66" s="37">
        <f t="shared" si="97"/>
        <v>40.245611250626936</v>
      </c>
      <c r="BJ66" s="60">
        <f t="shared" si="98"/>
        <v>96.562102561773969</v>
      </c>
      <c r="BK66">
        <f t="shared" si="99"/>
        <v>36.413317147168293</v>
      </c>
      <c r="BL66" s="60">
        <f t="shared" si="100"/>
        <v>90.66758460122621</v>
      </c>
      <c r="BN66">
        <f t="shared" si="101"/>
        <v>0</v>
      </c>
      <c r="BO66">
        <f t="shared" si="102"/>
        <v>0</v>
      </c>
    </row>
    <row r="67" spans="1:67" x14ac:dyDescent="0.25">
      <c r="A67" t="s">
        <v>570</v>
      </c>
      <c r="B67" s="23">
        <f>(B66*2*VOUT/DC_VIN_var_DCM)*(((VOUT/Vin_vari)-1)/((2*VOUT/Vin_vari)-1))</f>
        <v>21.035373205226456</v>
      </c>
      <c r="C67" t="s">
        <v>118</v>
      </c>
      <c r="M67" s="66">
        <v>49</v>
      </c>
      <c r="N67" s="36">
        <f t="shared" si="54"/>
        <v>30.902954325135919</v>
      </c>
      <c r="O67" s="91" t="str">
        <f t="shared" si="55"/>
        <v>13,7404580152672</v>
      </c>
      <c r="P67" s="67" t="str">
        <f t="shared" si="56"/>
        <v>1+0,209702507649267i</v>
      </c>
      <c r="Q67" s="67">
        <f t="shared" si="57"/>
        <v>1.0217510174765627</v>
      </c>
      <c r="R67" s="67">
        <f t="shared" si="58"/>
        <v>0.20670725011091667</v>
      </c>
      <c r="S67" s="67" t="str">
        <f t="shared" si="59"/>
        <v>1+0,00582506965692409i</v>
      </c>
      <c r="T67" s="67">
        <f t="shared" si="60"/>
        <v>1.0000169655743387</v>
      </c>
      <c r="U67" s="67">
        <f t="shared" si="61"/>
        <v>5.8250037739383149E-3</v>
      </c>
      <c r="V67" t="str">
        <f t="shared" si="62"/>
        <v>1-0,00121355617852585i</v>
      </c>
      <c r="W67" s="67">
        <f t="shared" si="63"/>
        <v>1.0000007363590282</v>
      </c>
      <c r="X67" s="67">
        <f t="shared" si="64"/>
        <v>-1.2135555827841251E-3</v>
      </c>
      <c r="Y67" t="str">
        <f t="shared" si="65"/>
        <v>0,999999938880474+0,00210572068514083i</v>
      </c>
      <c r="Z67" s="67">
        <f t="shared" si="66"/>
        <v>1.0000021559079537</v>
      </c>
      <c r="AA67" s="67">
        <f t="shared" si="67"/>
        <v>2.1057177015521887E-3</v>
      </c>
      <c r="AB67" s="92" t="str">
        <f t="shared" si="68"/>
        <v>13,1687509370016-2,72708971029039i</v>
      </c>
      <c r="AC67" s="37">
        <f t="shared" si="69"/>
        <v>22.573257641550214</v>
      </c>
      <c r="AD67" s="60">
        <f t="shared" si="70"/>
        <v>-11.699885244459162</v>
      </c>
      <c r="AE67" t="str">
        <f t="shared" si="71"/>
        <v>21,0353732052265</v>
      </c>
      <c r="AF67" t="str">
        <f t="shared" si="72"/>
        <v>1+0,104851253824634i</v>
      </c>
      <c r="AG67">
        <f t="shared" si="73"/>
        <v>1.0054818672798618</v>
      </c>
      <c r="AH67">
        <f t="shared" si="74"/>
        <v>0.10446953122895485</v>
      </c>
      <c r="AI67" t="str">
        <f t="shared" si="50"/>
        <v>1+0,00582506965692409i</v>
      </c>
      <c r="AJ67">
        <f t="shared" si="75"/>
        <v>1.0000169655743387</v>
      </c>
      <c r="AK67">
        <f t="shared" si="76"/>
        <v>5.8250037739383149E-3</v>
      </c>
      <c r="AL67" t="str">
        <f t="shared" si="77"/>
        <v>1-0,000396345788212029i</v>
      </c>
      <c r="AM67">
        <f t="shared" si="78"/>
        <v>1.000000078544989</v>
      </c>
      <c r="AN67">
        <f t="shared" si="79"/>
        <v>-3.9634576745804648E-4</v>
      </c>
      <c r="AO67" s="58" t="str">
        <f t="shared" si="80"/>
        <v>20,8185209317278-2,06865278985957i</v>
      </c>
      <c r="AP67">
        <f t="shared" si="81"/>
        <v>26.411667613826335</v>
      </c>
      <c r="AQ67" s="60">
        <f t="shared" si="82"/>
        <v>-5.6746240349380468</v>
      </c>
      <c r="AR67" t="str">
        <f t="shared" si="83"/>
        <v>-1,05811623246493</v>
      </c>
      <c r="AS67" t="str">
        <f t="shared" si="51"/>
        <v>1+0,00574118865386438i</v>
      </c>
      <c r="AT67">
        <f t="shared" si="84"/>
        <v>1.0000164804877765</v>
      </c>
      <c r="AU67">
        <f t="shared" si="85"/>
        <v>5.7411255761991098E-3</v>
      </c>
      <c r="AV67" t="str">
        <f t="shared" si="52"/>
        <v>1+0,00574118865386438i</v>
      </c>
      <c r="AW67">
        <f t="shared" si="86"/>
        <v>1.0000164804877765</v>
      </c>
      <c r="AX67">
        <f t="shared" si="87"/>
        <v>5.7411255761991098E-3</v>
      </c>
      <c r="AY67" t="str">
        <f t="shared" si="53"/>
        <v>1-4,43367166438819i</v>
      </c>
      <c r="AZ67">
        <f t="shared" si="88"/>
        <v>4.5450461414158108</v>
      </c>
      <c r="BA67">
        <f t="shared" si="89"/>
        <v>-1.3489615912243682</v>
      </c>
      <c r="BB67" s="58" t="str">
        <f t="shared" si="90"/>
        <v>-1,03114837679295+4,69725997487024i</v>
      </c>
      <c r="BC67">
        <f t="shared" si="91"/>
        <v>13.641290322654145</v>
      </c>
      <c r="BD67" s="60">
        <f t="shared" si="92"/>
        <v>102.38125183242104</v>
      </c>
      <c r="BE67" s="58" t="str">
        <f t="shared" si="93"/>
        <v>-0,769086809052309+64,6690808235473i</v>
      </c>
      <c r="BF67" s="37">
        <f t="shared" si="94"/>
        <v>36.214547964204364</v>
      </c>
      <c r="BG67" s="60">
        <f t="shared" si="95"/>
        <v>90.68136658796189</v>
      </c>
      <c r="BH67" s="58" t="str">
        <f t="shared" si="96"/>
        <v>-11,7499841142702+99,9230930750152i</v>
      </c>
      <c r="BI67" s="37">
        <f t="shared" si="97"/>
        <v>40.052957936480482</v>
      </c>
      <c r="BJ67" s="60">
        <f t="shared" si="98"/>
        <v>96.706627797483023</v>
      </c>
      <c r="BK67">
        <f t="shared" si="99"/>
        <v>36.214547964204364</v>
      </c>
      <c r="BL67" s="60">
        <f t="shared" si="100"/>
        <v>90.68136658796189</v>
      </c>
      <c r="BN67">
        <f t="shared" si="101"/>
        <v>0</v>
      </c>
      <c r="BO67">
        <f t="shared" si="102"/>
        <v>0</v>
      </c>
    </row>
    <row r="68" spans="1:67" x14ac:dyDescent="0.25">
      <c r="A68" t="s">
        <v>571</v>
      </c>
      <c r="B68" s="23">
        <f>(B18*((2*VOUT)-Vin_vari))/(COUT*VOUT*(VOUT-Vin_vari))</f>
        <v>1851.851851851852</v>
      </c>
      <c r="C68" t="s">
        <v>525</v>
      </c>
      <c r="M68" s="66">
        <v>50</v>
      </c>
      <c r="N68" s="36">
        <f t="shared" si="54"/>
        <v>31.622776601683803</v>
      </c>
      <c r="O68" s="91" t="str">
        <f t="shared" si="55"/>
        <v>13,7404580152672</v>
      </c>
      <c r="P68" s="67" t="str">
        <f t="shared" si="56"/>
        <v>1+0,214587106541196i</v>
      </c>
      <c r="Q68" s="67">
        <f t="shared" si="57"/>
        <v>1.0227646974224924</v>
      </c>
      <c r="R68" s="67">
        <f t="shared" si="58"/>
        <v>0.21138147582271596</v>
      </c>
      <c r="S68" s="67" t="str">
        <f t="shared" si="59"/>
        <v>1+0,00596075295947767i</v>
      </c>
      <c r="T68" s="67">
        <f t="shared" si="60"/>
        <v>1.0000177651301221</v>
      </c>
      <c r="U68" s="67">
        <f t="shared" si="61"/>
        <v>5.9606823646542574E-3</v>
      </c>
      <c r="V68" t="str">
        <f t="shared" si="62"/>
        <v>1-0,00124182353322451i</v>
      </c>
      <c r="W68" s="67">
        <f t="shared" si="63"/>
        <v>1.0000007710625465</v>
      </c>
      <c r="X68" s="67">
        <f t="shared" si="64"/>
        <v>-1.2418228948757773E-3</v>
      </c>
      <c r="Y68" t="str">
        <f t="shared" si="65"/>
        <v>0,999999936+0,00215476922080524i</v>
      </c>
      <c r="Z68" s="67">
        <f t="shared" si="66"/>
        <v>1.0000022575126515</v>
      </c>
      <c r="AA68" s="67">
        <f t="shared" si="67"/>
        <v>2.1547660238328001E-3</v>
      </c>
      <c r="AB68" s="92" t="str">
        <f t="shared" si="68"/>
        <v>13,1429932873866-2,78508454756904i</v>
      </c>
      <c r="AC68" s="37">
        <f t="shared" si="69"/>
        <v>22.564650999383687</v>
      </c>
      <c r="AD68" s="60">
        <f t="shared" si="70"/>
        <v>-11.964354699158385</v>
      </c>
      <c r="AE68" t="str">
        <f t="shared" si="71"/>
        <v>21,0353732052265</v>
      </c>
      <c r="AF68" t="str">
        <f t="shared" si="72"/>
        <v>1+0,107293553270598i</v>
      </c>
      <c r="AG68">
        <f t="shared" si="73"/>
        <v>1.0057394824572765</v>
      </c>
      <c r="AH68">
        <f t="shared" si="74"/>
        <v>0.10688465610105424</v>
      </c>
      <c r="AI68" t="str">
        <f t="shared" si="50"/>
        <v>1+0,00596075295947767i</v>
      </c>
      <c r="AJ68">
        <f t="shared" si="75"/>
        <v>1.0000177651301221</v>
      </c>
      <c r="AK68">
        <f t="shared" si="76"/>
        <v>5.9606823646542574E-3</v>
      </c>
      <c r="AL68" t="str">
        <f t="shared" si="77"/>
        <v>1-0,000405577867597361i</v>
      </c>
      <c r="AM68">
        <f t="shared" si="78"/>
        <v>1.0000000822466999</v>
      </c>
      <c r="AN68">
        <f t="shared" si="79"/>
        <v>-4.0557784535906813E-4</v>
      </c>
      <c r="AO68" s="58" t="str">
        <f t="shared" si="80"/>
        <v>20,8084173108756-2,11575384994318i</v>
      </c>
      <c r="AP68">
        <f t="shared" si="81"/>
        <v>26.409449458194434</v>
      </c>
      <c r="AQ68" s="60">
        <f t="shared" si="82"/>
        <v>-5.8057556455879578</v>
      </c>
      <c r="AR68" t="str">
        <f t="shared" si="83"/>
        <v>-1,05811623246493</v>
      </c>
      <c r="AS68" t="str">
        <f t="shared" si="51"/>
        <v>1+0,00587491811686118i</v>
      </c>
      <c r="AT68">
        <f t="shared" si="84"/>
        <v>1.0000172571825348</v>
      </c>
      <c r="AU68">
        <f t="shared" si="85"/>
        <v>5.874850527988109E-3</v>
      </c>
      <c r="AV68" t="str">
        <f t="shared" si="52"/>
        <v>1+0,00587491811686118i</v>
      </c>
      <c r="AW68">
        <f t="shared" si="86"/>
        <v>1.0000172571825348</v>
      </c>
      <c r="AX68">
        <f t="shared" si="87"/>
        <v>5.874850527988109E-3</v>
      </c>
      <c r="AY68" t="str">
        <f t="shared" si="53"/>
        <v>1-4,33274897593724i</v>
      </c>
      <c r="AZ68">
        <f t="shared" si="88"/>
        <v>4.4466519639482911</v>
      </c>
      <c r="BA68">
        <f t="shared" si="89"/>
        <v>-1.343967928797164</v>
      </c>
      <c r="BB68" s="58" t="str">
        <f t="shared" si="90"/>
        <v>-1,03114677504614+4,59060992550486i</v>
      </c>
      <c r="BC68">
        <f t="shared" si="91"/>
        <v>13.451180423155924</v>
      </c>
      <c r="BD68" s="60">
        <f t="shared" si="92"/>
        <v>102.65970573845985</v>
      </c>
      <c r="BE68" s="58" t="str">
        <f t="shared" si="93"/>
        <v>-0,767118375301113+63,2061863853773i</v>
      </c>
      <c r="BF68" s="37">
        <f t="shared" si="94"/>
        <v>36.015831422539605</v>
      </c>
      <c r="BG68" s="60">
        <f t="shared" si="95"/>
        <v>90.695351039301457</v>
      </c>
      <c r="BH68" s="58" t="str">
        <f t="shared" si="96"/>
        <v>-11,7439317804494+97,7049798005131i</v>
      </c>
      <c r="BI68" s="37">
        <f t="shared" si="97"/>
        <v>39.860629881350363</v>
      </c>
      <c r="BJ68" s="60">
        <f t="shared" si="98"/>
        <v>96.853950092871912</v>
      </c>
      <c r="BK68">
        <f t="shared" si="99"/>
        <v>36.015831422539605</v>
      </c>
      <c r="BL68" s="60">
        <f t="shared" si="100"/>
        <v>90.695351039301457</v>
      </c>
      <c r="BN68">
        <f t="shared" si="101"/>
        <v>0</v>
      </c>
      <c r="BO68">
        <f t="shared" si="102"/>
        <v>0</v>
      </c>
    </row>
    <row r="69" spans="1:67" x14ac:dyDescent="0.25">
      <c r="B69" s="23">
        <f>B68/(2*PI())</f>
        <v>294.73137609610251</v>
      </c>
      <c r="C69" t="s">
        <v>70</v>
      </c>
      <c r="M69" s="66">
        <v>51</v>
      </c>
      <c r="N69" s="36">
        <f t="shared" si="54"/>
        <v>32.359365692962832</v>
      </c>
      <c r="O69" s="91" t="str">
        <f t="shared" si="55"/>
        <v>13,7404580152672</v>
      </c>
      <c r="P69" s="67" t="str">
        <f t="shared" si="56"/>
        <v>1+0,219585482357409i</v>
      </c>
      <c r="Q69" s="67">
        <f t="shared" si="57"/>
        <v>1.0238250749332798</v>
      </c>
      <c r="R69" s="67">
        <f t="shared" si="58"/>
        <v>0.21615488940906566</v>
      </c>
      <c r="S69" s="67" t="str">
        <f t="shared" si="59"/>
        <v>1+0,00609959673215026i</v>
      </c>
      <c r="T69" s="67">
        <f t="shared" si="60"/>
        <v>1.0000186023671234</v>
      </c>
      <c r="U69" s="67">
        <f t="shared" si="61"/>
        <v>6.0995210885101212E-3</v>
      </c>
      <c r="V69" t="str">
        <f t="shared" si="62"/>
        <v>1-0,00127074931919797i</v>
      </c>
      <c r="W69" s="67">
        <f t="shared" si="63"/>
        <v>1.0000008074015903</v>
      </c>
      <c r="X69" s="67">
        <f t="shared" si="64"/>
        <v>-1.2707486351950092E-3</v>
      </c>
      <c r="Y69" t="str">
        <f t="shared" si="65"/>
        <v>0,999999932983773+0,00220496024363226i</v>
      </c>
      <c r="Z69" s="67">
        <f t="shared" si="66"/>
        <v>1.0000023639058191</v>
      </c>
      <c r="AA69" s="67">
        <f t="shared" si="67"/>
        <v>2.2049568180150096E-3</v>
      </c>
      <c r="AB69" s="92" t="str">
        <f t="shared" si="68"/>
        <v>13,1161308837389-2,84405892501553i</v>
      </c>
      <c r="AC69" s="37">
        <f t="shared" si="69"/>
        <v>22.555657009263975</v>
      </c>
      <c r="AD69" s="60">
        <f t="shared" si="70"/>
        <v>-12.234429322133394</v>
      </c>
      <c r="AE69" t="str">
        <f t="shared" si="71"/>
        <v>21,0353732052265</v>
      </c>
      <c r="AF69" t="str">
        <f t="shared" si="72"/>
        <v>1+0,109792741178705i</v>
      </c>
      <c r="AG69">
        <f t="shared" si="73"/>
        <v>1.0060091679579934</v>
      </c>
      <c r="AH69">
        <f t="shared" si="74"/>
        <v>0.10935474119228666</v>
      </c>
      <c r="AI69" t="str">
        <f t="shared" si="50"/>
        <v>1+0,00609959673215026i</v>
      </c>
      <c r="AJ69">
        <f t="shared" si="75"/>
        <v>1.0000186023671234</v>
      </c>
      <c r="AK69">
        <f t="shared" si="76"/>
        <v>6.0995210885101212E-3</v>
      </c>
      <c r="AL69" t="str">
        <f t="shared" si="77"/>
        <v>1-0,00041502498973655i</v>
      </c>
      <c r="AM69">
        <f t="shared" si="78"/>
        <v>1.0000000861228673</v>
      </c>
      <c r="AN69">
        <f t="shared" si="79"/>
        <v>-4.1502496590779001E-4</v>
      </c>
      <c r="AO69" s="58" t="str">
        <f t="shared" si="80"/>
        <v>20,79784860895-2,16387572128278i</v>
      </c>
      <c r="AP69">
        <f t="shared" si="81"/>
        <v>26.40712798537038</v>
      </c>
      <c r="AQ69" s="60">
        <f t="shared" si="82"/>
        <v>-5.9398675035798423</v>
      </c>
      <c r="AR69" t="str">
        <f t="shared" si="83"/>
        <v>-1,05811623246493</v>
      </c>
      <c r="AS69" t="str">
        <f t="shared" si="51"/>
        <v>1+0,00601176253920729i</v>
      </c>
      <c r="AT69">
        <f t="shared" si="84"/>
        <v>1.0000180704811428</v>
      </c>
      <c r="AU69">
        <f t="shared" si="85"/>
        <v>6.0116901164956561E-3</v>
      </c>
      <c r="AV69" t="str">
        <f t="shared" si="52"/>
        <v>1+0,00601176253920729i</v>
      </c>
      <c r="AW69">
        <f t="shared" si="86"/>
        <v>1.0000180704811428</v>
      </c>
      <c r="AX69">
        <f t="shared" si="87"/>
        <v>6.0116901164956561E-3</v>
      </c>
      <c r="AY69" t="str">
        <f t="shared" si="53"/>
        <v>1-4,23412356834405i</v>
      </c>
      <c r="AZ69">
        <f t="shared" si="88"/>
        <v>4.3506094276556881</v>
      </c>
      <c r="BA69">
        <f t="shared" si="89"/>
        <v>-1.3388698392818068</v>
      </c>
      <c r="BB69" s="58" t="str">
        <f t="shared" si="90"/>
        <v>-1,03114509781666+4,48639387739871i</v>
      </c>
      <c r="BC69">
        <f t="shared" si="91"/>
        <v>13.261512513754557</v>
      </c>
      <c r="BD69" s="60">
        <f t="shared" si="92"/>
        <v>102.94396442037799</v>
      </c>
      <c r="BE69" s="58" t="str">
        <f t="shared" si="93"/>
        <v>-0,765065514938236+61,7767667103978i</v>
      </c>
      <c r="BF69" s="37">
        <f t="shared" si="94"/>
        <v>35.817169523018528</v>
      </c>
      <c r="BG69" s="60">
        <f t="shared" si="95"/>
        <v>90.709535098244601</v>
      </c>
      <c r="BH69" s="58" t="str">
        <f t="shared" si="96"/>
        <v>-11,7376008508371+95,5386105045438i</v>
      </c>
      <c r="BI69" s="37">
        <f t="shared" si="97"/>
        <v>39.66864049912494</v>
      </c>
      <c r="BJ69" s="60">
        <f t="shared" si="98"/>
        <v>97.004096916798161</v>
      </c>
      <c r="BK69">
        <f t="shared" si="99"/>
        <v>35.817169523018528</v>
      </c>
      <c r="BL69" s="60">
        <f t="shared" si="100"/>
        <v>90.709535098244601</v>
      </c>
      <c r="BN69">
        <f t="shared" si="101"/>
        <v>0</v>
      </c>
      <c r="BO69">
        <f t="shared" si="102"/>
        <v>0</v>
      </c>
    </row>
    <row r="70" spans="1:67" x14ac:dyDescent="0.25">
      <c r="A70" t="s">
        <v>572</v>
      </c>
      <c r="B70" s="23">
        <f>1/(COUT*RESR)</f>
        <v>33333.333333333336</v>
      </c>
      <c r="C70" t="s">
        <v>525</v>
      </c>
      <c r="M70" s="66">
        <v>52</v>
      </c>
      <c r="N70" s="36">
        <f t="shared" si="54"/>
        <v>33.113112148259127</v>
      </c>
      <c r="O70" s="91" t="str">
        <f t="shared" si="55"/>
        <v>13,7404580152672</v>
      </c>
      <c r="P70" s="67" t="str">
        <f t="shared" si="56"/>
        <v>1+0,224700285302927i</v>
      </c>
      <c r="Q70" s="67">
        <f t="shared" si="57"/>
        <v>1.0249342506791432</v>
      </c>
      <c r="R70" s="67">
        <f t="shared" si="58"/>
        <v>0.22102915128030767</v>
      </c>
      <c r="S70" s="67" t="str">
        <f t="shared" si="59"/>
        <v>1+0,00624167459174797i</v>
      </c>
      <c r="T70" s="67">
        <f t="shared" si="60"/>
        <v>1.0000194790611376</v>
      </c>
      <c r="U70" s="67">
        <f t="shared" si="61"/>
        <v>6.241593538212512E-3</v>
      </c>
      <c r="V70" t="str">
        <f t="shared" si="62"/>
        <v>1-0,00130034887328083i</v>
      </c>
      <c r="W70" s="67">
        <f t="shared" si="63"/>
        <v>1.0000008454532388</v>
      </c>
      <c r="X70" s="67">
        <f t="shared" si="64"/>
        <v>-1.3003481403584861E-3</v>
      </c>
      <c r="Y70" t="str">
        <f t="shared" si="65"/>
        <v>0,999999929825395+0,00225632036556656i</v>
      </c>
      <c r="Z70" s="67">
        <f t="shared" si="66"/>
        <v>1.00000247531313</v>
      </c>
      <c r="AA70" s="67">
        <f t="shared" si="67"/>
        <v>2.256316694952036E-3</v>
      </c>
      <c r="AB70" s="92" t="str">
        <f t="shared" si="68"/>
        <v>13,0881214504368-2,90401185970763i</v>
      </c>
      <c r="AC70" s="37">
        <f t="shared" si="69"/>
        <v>22.546259095841357</v>
      </c>
      <c r="AD70" s="60">
        <f t="shared" si="70"/>
        <v>-12.510202434750408</v>
      </c>
      <c r="AE70" t="str">
        <f t="shared" si="71"/>
        <v>21,0353732052265</v>
      </c>
      <c r="AF70" t="str">
        <f t="shared" si="72"/>
        <v>1+0,112350142651463i</v>
      </c>
      <c r="AG70">
        <f t="shared" si="73"/>
        <v>1.0062914858796153</v>
      </c>
      <c r="AH70">
        <f t="shared" si="74"/>
        <v>0.11188097554263357</v>
      </c>
      <c r="AI70" t="str">
        <f t="shared" si="50"/>
        <v>1+0,00624167459174797i</v>
      </c>
      <c r="AJ70">
        <f t="shared" si="75"/>
        <v>1.0000194790611376</v>
      </c>
      <c r="AK70">
        <f t="shared" si="76"/>
        <v>6.241593538212512E-3</v>
      </c>
      <c r="AL70" t="str">
        <f t="shared" si="77"/>
        <v>1-0,000424692163618805i</v>
      </c>
      <c r="AM70">
        <f t="shared" si="78"/>
        <v>1.0000000901817128</v>
      </c>
      <c r="AN70">
        <f t="shared" si="79"/>
        <v>-4.2469213808582875E-4</v>
      </c>
      <c r="AO70" s="58" t="str">
        <f t="shared" si="80"/>
        <v>20,7867939575417-2,21303687009243i</v>
      </c>
      <c r="AP70">
        <f t="shared" si="81"/>
        <v>26.404698442553869</v>
      </c>
      <c r="AQ70" s="60">
        <f t="shared" si="82"/>
        <v>-6.0770238063282713</v>
      </c>
      <c r="AR70" t="str">
        <f t="shared" si="83"/>
        <v>-1,05811623246493</v>
      </c>
      <c r="AS70" t="str">
        <f t="shared" si="51"/>
        <v>1+0,00615179447762679i</v>
      </c>
      <c r="AT70">
        <f t="shared" si="84"/>
        <v>1.0000189221086244</v>
      </c>
      <c r="AU70">
        <f t="shared" si="85"/>
        <v>6.151716875372441E-3</v>
      </c>
      <c r="AV70" t="str">
        <f t="shared" si="52"/>
        <v>1+0,00615179447762679i</v>
      </c>
      <c r="AW70">
        <f t="shared" si="86"/>
        <v>1.0000189221086244</v>
      </c>
      <c r="AX70">
        <f t="shared" si="87"/>
        <v>6.151716875372441E-3</v>
      </c>
      <c r="AY70" t="str">
        <f t="shared" si="53"/>
        <v>1-4,13774314911203i</v>
      </c>
      <c r="AZ70">
        <f t="shared" si="88"/>
        <v>4.2568672011261448</v>
      </c>
      <c r="BA70">
        <f t="shared" si="89"/>
        <v>-1.3336656800907187</v>
      </c>
      <c r="BB70" s="58" t="str">
        <f t="shared" si="90"/>
        <v>-1,03114334154763+4,38455657376017i</v>
      </c>
      <c r="BC70">
        <f t="shared" si="91"/>
        <v>13.072305223816469</v>
      </c>
      <c r="BD70" s="60">
        <f t="shared" si="92"/>
        <v>103.23411783563895</v>
      </c>
      <c r="BE70" s="58" t="str">
        <f t="shared" si="93"/>
        <v>-0,76292499722603+60,380061436597i</v>
      </c>
      <c r="BF70" s="37">
        <f t="shared" si="94"/>
        <v>35.618564319657821</v>
      </c>
      <c r="BG70" s="60">
        <f t="shared" si="95"/>
        <v>90.723915400888544</v>
      </c>
      <c r="BH70" s="58" t="str">
        <f t="shared" si="96"/>
        <v>-11,7309788247042+93,4228323271329i</v>
      </c>
      <c r="BI70" s="37">
        <f t="shared" si="97"/>
        <v>39.477003666370344</v>
      </c>
      <c r="BJ70" s="60">
        <f t="shared" si="98"/>
        <v>97.157094029310656</v>
      </c>
      <c r="BK70">
        <f t="shared" si="99"/>
        <v>35.618564319657821</v>
      </c>
      <c r="BL70" s="60">
        <f t="shared" si="100"/>
        <v>90.723915400888544</v>
      </c>
      <c r="BN70">
        <f t="shared" si="101"/>
        <v>0</v>
      </c>
      <c r="BO70">
        <f t="shared" si="102"/>
        <v>0</v>
      </c>
    </row>
    <row r="71" spans="1:67" x14ac:dyDescent="0.25">
      <c r="B71" s="23">
        <f>B70/(2*PI())</f>
        <v>5305.1647697298449</v>
      </c>
      <c r="C71" t="s">
        <v>70</v>
      </c>
      <c r="M71" s="66">
        <v>53</v>
      </c>
      <c r="N71" s="36">
        <f t="shared" si="54"/>
        <v>33.884415613920268</v>
      </c>
      <c r="O71" s="91" t="str">
        <f t="shared" si="55"/>
        <v>13,7404580152672</v>
      </c>
      <c r="P71" s="67" t="str">
        <f t="shared" si="56"/>
        <v>1+0,22993422731397i</v>
      </c>
      <c r="Q71" s="67">
        <f t="shared" si="57"/>
        <v>1.0260944151931013</v>
      </c>
      <c r="R71" s="67">
        <f t="shared" si="58"/>
        <v>0.22600591897407374</v>
      </c>
      <c r="S71" s="67" t="str">
        <f t="shared" si="59"/>
        <v>1+0,00638706186983251i</v>
      </c>
      <c r="T71" s="67">
        <f t="shared" si="60"/>
        <v>1.0000203970716444</v>
      </c>
      <c r="U71" s="67">
        <f t="shared" si="61"/>
        <v>6.3869750195001841E-3</v>
      </c>
      <c r="V71" t="str">
        <f t="shared" si="62"/>
        <v>1-0,00133063788954844i</v>
      </c>
      <c r="W71" s="67">
        <f t="shared" si="63"/>
        <v>1.0000008852982047</v>
      </c>
      <c r="X71" s="67">
        <f t="shared" si="64"/>
        <v>-1.3306371042080369E-3</v>
      </c>
      <c r="Y71" t="str">
        <f t="shared" si="65"/>
        <v>0,999999926518168+0,00230887681842461i</v>
      </c>
      <c r="Z71" s="67">
        <f t="shared" si="66"/>
        <v>1.000002591970893</v>
      </c>
      <c r="AA71" s="67">
        <f t="shared" si="67"/>
        <v>2.308872885290835E-3</v>
      </c>
      <c r="AB71" s="92" t="str">
        <f t="shared" si="68"/>
        <v>13,0589215611912-2,9649409527407i</v>
      </c>
      <c r="AC71" s="37">
        <f t="shared" si="69"/>
        <v>22.536440052976616</v>
      </c>
      <c r="AD71" s="60">
        <f t="shared" si="70"/>
        <v>-12.791767151611186</v>
      </c>
      <c r="AE71" t="str">
        <f t="shared" si="71"/>
        <v>21,0353732052265</v>
      </c>
      <c r="AF71" t="str">
        <f t="shared" si="72"/>
        <v>1+0,114967113656985i</v>
      </c>
      <c r="AG71">
        <f t="shared" si="73"/>
        <v>1.0065870241676167</v>
      </c>
      <c r="AH71">
        <f t="shared" si="74"/>
        <v>0.11446456954841749</v>
      </c>
      <c r="AI71" t="str">
        <f t="shared" si="50"/>
        <v>1+0,00638706186983251i</v>
      </c>
      <c r="AJ71">
        <f t="shared" si="75"/>
        <v>1.0000203970716444</v>
      </c>
      <c r="AK71">
        <f t="shared" si="76"/>
        <v>6.3869750195001841E-3</v>
      </c>
      <c r="AL71" t="str">
        <f t="shared" si="77"/>
        <v>1-0,000434584514907673i</v>
      </c>
      <c r="AM71">
        <f t="shared" si="78"/>
        <v>1.0000000944318459</v>
      </c>
      <c r="AN71">
        <f t="shared" si="79"/>
        <v>-4.3458448754859618E-4</v>
      </c>
      <c r="AO71" s="58" t="str">
        <f t="shared" si="80"/>
        <v>20,7752316032151-2,26325583032052i</v>
      </c>
      <c r="AP71">
        <f t="shared" si="81"/>
        <v>26.402155863970673</v>
      </c>
      <c r="AQ71" s="60">
        <f t="shared" si="82"/>
        <v>-6.2172898834115653</v>
      </c>
      <c r="AR71" t="str">
        <f t="shared" si="83"/>
        <v>-1,05811623246493</v>
      </c>
      <c r="AS71" t="str">
        <f t="shared" si="51"/>
        <v>1+0,00629508817890692i</v>
      </c>
      <c r="AT71">
        <f t="shared" si="84"/>
        <v>1.0000198138712955</v>
      </c>
      <c r="AU71">
        <f t="shared" si="85"/>
        <v>6.2950050266822374E-3</v>
      </c>
      <c r="AV71" t="str">
        <f t="shared" si="52"/>
        <v>1+0,00629508817890692i</v>
      </c>
      <c r="AW71">
        <f t="shared" si="86"/>
        <v>1.0000198138712955</v>
      </c>
      <c r="AX71">
        <f t="shared" si="87"/>
        <v>6.2950050266822374E-3</v>
      </c>
      <c r="AY71" t="str">
        <f t="shared" si="53"/>
        <v>1-4,0435566160672i</v>
      </c>
      <c r="AZ71">
        <f t="shared" si="88"/>
        <v>4.1653751460511712</v>
      </c>
      <c r="BA71">
        <f t="shared" si="89"/>
        <v>-1.3283538199700997</v>
      </c>
      <c r="BB71" s="58" t="str">
        <f t="shared" si="90"/>
        <v>-1,03114150251461+4,28504401903493i</v>
      </c>
      <c r="BC71">
        <f t="shared" si="91"/>
        <v>12.883577865905515</v>
      </c>
      <c r="BD71" s="60">
        <f t="shared" si="92"/>
        <v>103.53025519559</v>
      </c>
      <c r="BE71" s="58" t="str">
        <f t="shared" si="93"/>
        <v>-0,760693503493865+59,0153273997048i</v>
      </c>
      <c r="BF71" s="37">
        <f t="shared" si="94"/>
        <v>35.420017918882124</v>
      </c>
      <c r="BG71" s="60">
        <f t="shared" si="95"/>
        <v>90.738488043978819</v>
      </c>
      <c r="BH71" s="58" t="str">
        <f t="shared" si="96"/>
        <v>-11,7240526711674+91,356518942874i</v>
      </c>
      <c r="BI71" s="37">
        <f t="shared" si="97"/>
        <v>39.285733729876192</v>
      </c>
      <c r="BJ71" s="60">
        <f t="shared" si="98"/>
        <v>97.312965312178477</v>
      </c>
      <c r="BK71">
        <f t="shared" si="99"/>
        <v>35.420017918882124</v>
      </c>
      <c r="BL71" s="60">
        <f t="shared" si="100"/>
        <v>90.738488043978819</v>
      </c>
      <c r="BN71">
        <f t="shared" si="101"/>
        <v>0</v>
      </c>
      <c r="BO71">
        <f t="shared" si="102"/>
        <v>0</v>
      </c>
    </row>
    <row r="72" spans="1:67" x14ac:dyDescent="0.25">
      <c r="A72" t="s">
        <v>573</v>
      </c>
      <c r="B72" s="23">
        <f>2*fsw/(DC_VIN_var_DCM)</f>
        <v>489897.94855663559</v>
      </c>
      <c r="C72" t="s">
        <v>525</v>
      </c>
      <c r="M72" s="66">
        <v>54</v>
      </c>
      <c r="N72" s="36">
        <f t="shared" si="54"/>
        <v>34.67368504525318</v>
      </c>
      <c r="O72" s="91" t="str">
        <f t="shared" si="55"/>
        <v>13,7404580152672</v>
      </c>
      <c r="P72" s="67" t="str">
        <f t="shared" si="56"/>
        <v>1+0,235290083495876i</v>
      </c>
      <c r="Q72" s="67">
        <f t="shared" si="57"/>
        <v>1.0273078522972052</v>
      </c>
      <c r="R72" s="67">
        <f t="shared" si="58"/>
        <v>0.23108684466887924</v>
      </c>
      <c r="S72" s="67" t="str">
        <f t="shared" si="59"/>
        <v>1+0,00653583565266322i</v>
      </c>
      <c r="T72" s="67">
        <f t="shared" si="60"/>
        <v>1.0000213583457498</v>
      </c>
      <c r="U72" s="67">
        <f t="shared" si="61"/>
        <v>6.535742590962814E-3</v>
      </c>
      <c r="V72" t="str">
        <f t="shared" si="62"/>
        <v>1-0,00136163242763817i</v>
      </c>
      <c r="W72" s="67">
        <f t="shared" si="63"/>
        <v>1.0000009270210042</v>
      </c>
      <c r="X72" s="67">
        <f t="shared" si="64"/>
        <v>-1.3616315861308091E-3</v>
      </c>
      <c r="Y72" t="str">
        <f t="shared" si="65"/>
        <v>0,999999923055076+0,00236265746833338i</v>
      </c>
      <c r="Z72" s="67">
        <f t="shared" si="66"/>
        <v>1.0000027141265522</v>
      </c>
      <c r="AA72" s="67">
        <f t="shared" si="67"/>
        <v>2.3626532539052277E-3</v>
      </c>
      <c r="AB72" s="92" t="str">
        <f t="shared" si="68"/>
        <v>13,0284866521606-3,02684228986611i</v>
      </c>
      <c r="AC72" s="37">
        <f t="shared" si="69"/>
        <v>22.526182026907662</v>
      </c>
      <c r="AD72" s="60">
        <f t="shared" si="70"/>
        <v>-13.079216237114549</v>
      </c>
      <c r="AE72" t="str">
        <f t="shared" si="71"/>
        <v>21,0353732052265</v>
      </c>
      <c r="AF72" t="str">
        <f t="shared" si="72"/>
        <v>1+0,117645041747938i</v>
      </c>
      <c r="AG72">
        <f t="shared" si="73"/>
        <v>1.0068963977728167</v>
      </c>
      <c r="AH72">
        <f t="shared" si="74"/>
        <v>0.11710675502767533</v>
      </c>
      <c r="AI72" t="str">
        <f t="shared" si="50"/>
        <v>1+0,00653583565266322i</v>
      </c>
      <c r="AJ72">
        <f t="shared" si="75"/>
        <v>1.0000213583457498</v>
      </c>
      <c r="AK72">
        <f t="shared" si="76"/>
        <v>6.535742590962814E-3</v>
      </c>
      <c r="AL72" t="str">
        <f t="shared" si="77"/>
        <v>1-0,000444707288658753i</v>
      </c>
      <c r="AM72">
        <f t="shared" si="78"/>
        <v>1.0000000988822813</v>
      </c>
      <c r="AN72">
        <f t="shared" si="79"/>
        <v>-4.447072593429742E-4</v>
      </c>
      <c r="AO72" s="58" t="str">
        <f t="shared" si="80"/>
        <v>20,7631388748879-2,31455118137665i</v>
      </c>
      <c r="AP72">
        <f t="shared" si="81"/>
        <v>26.399495061868514</v>
      </c>
      <c r="AQ72" s="60">
        <f t="shared" si="82"/>
        <v>-6.3607321981913545</v>
      </c>
      <c r="AR72" t="str">
        <f t="shared" si="83"/>
        <v>-1,05811623246493</v>
      </c>
      <c r="AS72" t="str">
        <f t="shared" si="51"/>
        <v>1+0,00644171961926486i</v>
      </c>
      <c r="AT72">
        <f t="shared" si="84"/>
        <v>1.000020747660594</v>
      </c>
      <c r="AU72">
        <f t="shared" si="85"/>
        <v>6.4416305201506771E-3</v>
      </c>
      <c r="AV72" t="str">
        <f t="shared" si="52"/>
        <v>1+0,00644171961926486i</v>
      </c>
      <c r="AW72">
        <f t="shared" si="86"/>
        <v>1.000020747660594</v>
      </c>
      <c r="AX72">
        <f t="shared" si="87"/>
        <v>6.4416305201506771E-3</v>
      </c>
      <c r="AY72" t="str">
        <f t="shared" si="53"/>
        <v>1-3,95151403026299i</v>
      </c>
      <c r="AZ72">
        <f t="shared" si="88"/>
        <v>4.0760842890408018</v>
      </c>
      <c r="BA72">
        <f t="shared" si="89"/>
        <v>-1.3229326420504797</v>
      </c>
      <c r="BB72" s="58" t="str">
        <f t="shared" si="90"/>
        <v>-1,03113957681766+4,18780345027638i</v>
      </c>
      <c r="BC72">
        <f t="shared" si="91"/>
        <v>12.695350451591988</v>
      </c>
      <c r="BD72" s="60">
        <f t="shared" si="92"/>
        <v>103.83246478842895</v>
      </c>
      <c r="BE72" s="58" t="str">
        <f t="shared" si="93"/>
        <v>-0,758367628139659+57,6818382316643i</v>
      </c>
      <c r="BF72" s="37">
        <f t="shared" si="94"/>
        <v>35.221532478499654</v>
      </c>
      <c r="BG72" s="60">
        <f t="shared" si="95"/>
        <v>90.7532485513144</v>
      </c>
      <c r="BH72" s="58" t="str">
        <f t="shared" si="96"/>
        <v>-11,7168088096478+89,3385699445107i</v>
      </c>
      <c r="BI72" s="37">
        <f t="shared" si="97"/>
        <v>39.094845513460498</v>
      </c>
      <c r="BJ72" s="60">
        <f t="shared" si="98"/>
        <v>97.471732590237593</v>
      </c>
      <c r="BK72">
        <f t="shared" si="99"/>
        <v>35.221532478499654</v>
      </c>
      <c r="BL72" s="60">
        <f t="shared" si="100"/>
        <v>90.7532485513144</v>
      </c>
      <c r="BN72">
        <f t="shared" si="101"/>
        <v>0</v>
      </c>
      <c r="BO72">
        <f t="shared" si="102"/>
        <v>0</v>
      </c>
    </row>
    <row r="73" spans="1:67" x14ac:dyDescent="0.25">
      <c r="B73" s="23">
        <f>B72/(2*PI())</f>
        <v>77969.680123367609</v>
      </c>
      <c r="C73" t="s">
        <v>70</v>
      </c>
      <c r="M73" s="66">
        <v>55</v>
      </c>
      <c r="N73" s="36">
        <f t="shared" si="54"/>
        <v>35.481338923357555</v>
      </c>
      <c r="O73" s="91" t="str">
        <f t="shared" si="55"/>
        <v>13,7404580152672</v>
      </c>
      <c r="P73" s="67" t="str">
        <f t="shared" si="56"/>
        <v>1+0,240770693594483i</v>
      </c>
      <c r="Q73" s="67">
        <f t="shared" si="57"/>
        <v>1.0285769426221687</v>
      </c>
      <c r="R73" s="67">
        <f t="shared" si="58"/>
        <v>0.23627357252595116</v>
      </c>
      <c r="S73" s="67" t="str">
        <f t="shared" si="59"/>
        <v>1+0,00668807482206898i</v>
      </c>
      <c r="T73" s="67">
        <f t="shared" si="60"/>
        <v>1.0000223649223179</v>
      </c>
      <c r="U73" s="67">
        <f t="shared" si="61"/>
        <v>6.6879751047808625E-3</v>
      </c>
      <c r="V73" t="str">
        <f t="shared" si="62"/>
        <v>1-0,00139334892126437i</v>
      </c>
      <c r="W73" s="67">
        <f t="shared" si="63"/>
        <v>1.0000009707101372</v>
      </c>
      <c r="X73" s="67">
        <f t="shared" si="64"/>
        <v>-1.3933480195730344E-3</v>
      </c>
      <c r="Y73" t="str">
        <f t="shared" si="65"/>
        <v>0,999999919428774+0,00241769083050534i</v>
      </c>
      <c r="Z73" s="67">
        <f t="shared" si="66"/>
        <v>1.0000028420392146</v>
      </c>
      <c r="AA73" s="67">
        <f t="shared" si="67"/>
        <v>2.4176863146649057E-3</v>
      </c>
      <c r="AB73" s="92" t="str">
        <f t="shared" si="68"/>
        <v>12,9967710403782-3,08971033842229i</v>
      </c>
      <c r="AC73" s="37">
        <f t="shared" si="69"/>
        <v>22.515466499648106</v>
      </c>
      <c r="AD73" s="60">
        <f t="shared" si="70"/>
        <v>-13.372641952153964</v>
      </c>
      <c r="AE73" t="str">
        <f t="shared" si="71"/>
        <v>21,0353732052265</v>
      </c>
      <c r="AF73" t="str">
        <f t="shared" si="72"/>
        <v>1+0,120385346797242i</v>
      </c>
      <c r="AG73">
        <f t="shared" si="73"/>
        <v>1.0072202498577421</v>
      </c>
      <c r="AH73">
        <f t="shared" si="74"/>
        <v>0.11980878525868024</v>
      </c>
      <c r="AI73" t="str">
        <f t="shared" si="50"/>
        <v>1+0,00668807482206898i</v>
      </c>
      <c r="AJ73">
        <f t="shared" si="75"/>
        <v>1.0000223649223179</v>
      </c>
      <c r="AK73">
        <f t="shared" si="76"/>
        <v>6.6879751047808625E-3</v>
      </c>
      <c r="AL73" t="str">
        <f t="shared" si="77"/>
        <v>1-0,000455065852100677i</v>
      </c>
      <c r="AM73">
        <f t="shared" si="78"/>
        <v>1.0000001035424595</v>
      </c>
      <c r="AN73">
        <f t="shared" si="79"/>
        <v>-4.5506582068825422E-4</v>
      </c>
      <c r="AO73" s="58" t="str">
        <f t="shared" si="80"/>
        <v>20,7504921504887-2,36694152387522i</v>
      </c>
      <c r="AP73">
        <f t="shared" si="81"/>
        <v>26.396710617182816</v>
      </c>
      <c r="AQ73" s="60">
        <f t="shared" si="82"/>
        <v>-6.5074183478451504</v>
      </c>
      <c r="AR73" t="str">
        <f t="shared" si="83"/>
        <v>-1,05811623246493</v>
      </c>
      <c r="AS73" t="str">
        <f t="shared" si="51"/>
        <v>1+0,00659176654463118i</v>
      </c>
      <c r="AT73">
        <f t="shared" si="84"/>
        <v>1.0000217254570918</v>
      </c>
      <c r="AU73">
        <f t="shared" si="85"/>
        <v>6.5916710733222739E-3</v>
      </c>
      <c r="AV73" t="str">
        <f t="shared" si="52"/>
        <v>1+0,00659176654463118i</v>
      </c>
      <c r="AW73">
        <f t="shared" si="86"/>
        <v>1.0000217254570918</v>
      </c>
      <c r="AX73">
        <f t="shared" si="87"/>
        <v>6.5916710733222739E-3</v>
      </c>
      <c r="AY73" t="str">
        <f t="shared" si="53"/>
        <v>1-3,8615665895021i</v>
      </c>
      <c r="AZ73">
        <f t="shared" si="88"/>
        <v>3.9889467939744296</v>
      </c>
      <c r="BA73">
        <f t="shared" si="89"/>
        <v>-1.3174005470877406</v>
      </c>
      <c r="BB73" s="58" t="str">
        <f t="shared" si="90"/>
        <v>-1,03113756037312+4,09278330916979i</v>
      </c>
      <c r="BC73">
        <f t="shared" si="91"/>
        <v>12.507643706744688</v>
      </c>
      <c r="BD73" s="60">
        <f t="shared" si="92"/>
        <v>104.14083379120696</v>
      </c>
      <c r="BE73" s="58" t="str">
        <f t="shared" si="93"/>
        <v>-0,755943880039503+56,3788839677816i</v>
      </c>
      <c r="BF73" s="37">
        <f t="shared" si="94"/>
        <v>35.023110206392801</v>
      </c>
      <c r="BG73" s="60">
        <f t="shared" si="95"/>
        <v>90.768191839052989</v>
      </c>
      <c r="BH73" s="58" t="str">
        <f t="shared" si="96"/>
        <v>-11,7092330898991+87,3679102390534i</v>
      </c>
      <c r="BI73" s="37">
        <f t="shared" si="97"/>
        <v>38.9043543239275</v>
      </c>
      <c r="BJ73" s="60">
        <f t="shared" si="98"/>
        <v>97.633415443361812</v>
      </c>
      <c r="BK73">
        <f t="shared" si="99"/>
        <v>35.023110206392801</v>
      </c>
      <c r="BL73" s="60">
        <f t="shared" si="100"/>
        <v>90.768191839052989</v>
      </c>
      <c r="BN73">
        <f t="shared" si="101"/>
        <v>0</v>
      </c>
      <c r="BO73">
        <f t="shared" si="102"/>
        <v>0</v>
      </c>
    </row>
    <row r="74" spans="1:67" x14ac:dyDescent="0.25">
      <c r="M74" s="66">
        <v>56</v>
      </c>
      <c r="N74" s="36">
        <f t="shared" si="54"/>
        <v>36.307805477010156</v>
      </c>
      <c r="O74" s="91" t="str">
        <f t="shared" si="55"/>
        <v>13,7404580152672</v>
      </c>
      <c r="P74" s="67" t="str">
        <f t="shared" si="56"/>
        <v>1+0,246378963501812i</v>
      </c>
      <c r="Q74" s="67">
        <f t="shared" si="57"/>
        <v>1.0299041672195657</v>
      </c>
      <c r="R74" s="67">
        <f t="shared" si="58"/>
        <v>0.24156773585314889</v>
      </c>
      <c r="S74" s="67" t="str">
        <f t="shared" si="59"/>
        <v>1+0,00684386009727256i</v>
      </c>
      <c r="T74" s="67">
        <f t="shared" si="60"/>
        <v>1.0000234189362922</v>
      </c>
      <c r="U74" s="67">
        <f t="shared" si="61"/>
        <v>6.843753248408419E-3</v>
      </c>
      <c r="V74" t="str">
        <f t="shared" si="62"/>
        <v>1-0,00142580418693178i</v>
      </c>
      <c r="W74" s="67">
        <f t="shared" si="63"/>
        <v>1.0000010164582731</v>
      </c>
      <c r="X74" s="67">
        <f t="shared" si="64"/>
        <v>-1.4258032207521598E-3</v>
      </c>
      <c r="Y74" t="str">
        <f t="shared" si="65"/>
        <v>0,999999915631569+0,00247400608435756i</v>
      </c>
      <c r="Z74" s="67">
        <f t="shared" si="66"/>
        <v>1.0000029759801972</v>
      </c>
      <c r="AA74" s="67">
        <f t="shared" si="67"/>
        <v>2.474001245548133E-3</v>
      </c>
      <c r="AB74" s="92" t="str">
        <f t="shared" si="68"/>
        <v>12,9637279479772-3,15353784067677i</v>
      </c>
      <c r="AC74" s="37">
        <f t="shared" si="69"/>
        <v>22.504274272702052</v>
      </c>
      <c r="AD74" s="60">
        <f t="shared" si="70"/>
        <v>-13.672135890599028</v>
      </c>
      <c r="AE74" t="str">
        <f t="shared" si="71"/>
        <v>21,0353732052265</v>
      </c>
      <c r="AF74" t="str">
        <f t="shared" si="72"/>
        <v>1+0,123189481750906i</v>
      </c>
      <c r="AG74">
        <f t="shared" si="73"/>
        <v>1.0075592530536637</v>
      </c>
      <c r="AH74">
        <f t="shared" si="74"/>
        <v>0.12257193498924819</v>
      </c>
      <c r="AI74" t="str">
        <f t="shared" si="50"/>
        <v>1+0,00684386009727256i</v>
      </c>
      <c r="AJ74">
        <f t="shared" si="75"/>
        <v>1.0000234189362922</v>
      </c>
      <c r="AK74">
        <f t="shared" si="76"/>
        <v>6.843753248408419E-3</v>
      </c>
      <c r="AL74" t="str">
        <f t="shared" si="77"/>
        <v>1-0,000465665697480894i</v>
      </c>
      <c r="AM74">
        <f t="shared" si="78"/>
        <v>1.0000001084222652</v>
      </c>
      <c r="AN74">
        <f t="shared" si="79"/>
        <v>-4.6566566382187679E-4</v>
      </c>
      <c r="AO74" s="58" t="str">
        <f t="shared" si="80"/>
        <v>20,7372668229329-2,42044545327225i</v>
      </c>
      <c r="AP74">
        <f t="shared" si="81"/>
        <v>26.393796869866932</v>
      </c>
      <c r="AQ74" s="60">
        <f t="shared" si="82"/>
        <v>-6.6574170616742077</v>
      </c>
      <c r="AR74" t="str">
        <f t="shared" si="83"/>
        <v>-1,05811623246493</v>
      </c>
      <c r="AS74" t="str">
        <f t="shared" si="51"/>
        <v>1+0,00674530851187183i</v>
      </c>
      <c r="AT74">
        <f t="shared" si="84"/>
        <v>1.000022749334694</v>
      </c>
      <c r="AU74">
        <f t="shared" si="85"/>
        <v>6.7452062126469288E-3</v>
      </c>
      <c r="AV74" t="str">
        <f t="shared" si="52"/>
        <v>1+0,00674530851187183i</v>
      </c>
      <c r="AW74">
        <f t="shared" si="86"/>
        <v>1.000022749334694</v>
      </c>
      <c r="AX74">
        <f t="shared" si="87"/>
        <v>6.7452062126469288E-3</v>
      </c>
      <c r="AY74" t="str">
        <f t="shared" si="53"/>
        <v>1-3,77366660246083i</v>
      </c>
      <c r="AZ74">
        <f t="shared" si="88"/>
        <v>3.9039159348695338</v>
      </c>
      <c r="BA74">
        <f t="shared" si="89"/>
        <v>-1.3117559568997972</v>
      </c>
      <c r="BB74" s="58" t="str">
        <f t="shared" si="90"/>
        <v>-1,03113544890493+3,99993321469498i</v>
      </c>
      <c r="BC74">
        <f t="shared" si="91"/>
        <v>12.320479086199265</v>
      </c>
      <c r="BD74" s="60">
        <f t="shared" si="92"/>
        <v>104.45544807056682</v>
      </c>
      <c r="BE74" s="58" t="str">
        <f t="shared" si="93"/>
        <v>-0,753418684398358+55,1057706623685i</v>
      </c>
      <c r="BF74" s="37">
        <f t="shared" si="94"/>
        <v>34.824753358901312</v>
      </c>
      <c r="BG74" s="60">
        <f t="shared" si="95"/>
        <v>90.783312179967794</v>
      </c>
      <c r="BH74" s="58" t="str">
        <f t="shared" si="96"/>
        <v>-11,7013107716251+85,4434894560513i</v>
      </c>
      <c r="BI74" s="37">
        <f t="shared" si="97"/>
        <v>38.714275956066196</v>
      </c>
      <c r="BJ74" s="60">
        <f t="shared" si="98"/>
        <v>97.798031008892607</v>
      </c>
      <c r="BK74">
        <f t="shared" si="99"/>
        <v>34.824753358901312</v>
      </c>
      <c r="BL74" s="60">
        <f t="shared" si="100"/>
        <v>90.783312179967794</v>
      </c>
      <c r="BN74">
        <f t="shared" si="101"/>
        <v>0</v>
      </c>
      <c r="BO74">
        <f t="shared" si="102"/>
        <v>0</v>
      </c>
    </row>
    <row r="75" spans="1:67" x14ac:dyDescent="0.25">
      <c r="M75" s="66">
        <v>57</v>
      </c>
      <c r="N75" s="36">
        <f t="shared" si="54"/>
        <v>37.15352290971726</v>
      </c>
      <c r="O75" s="91" t="str">
        <f t="shared" si="55"/>
        <v>13,7404580152672</v>
      </c>
      <c r="P75" s="67" t="str">
        <f t="shared" si="56"/>
        <v>1+0,2521178667968i</v>
      </c>
      <c r="Q75" s="67">
        <f t="shared" si="57"/>
        <v>1.0312921112653626</v>
      </c>
      <c r="R75" s="67">
        <f t="shared" si="58"/>
        <v>0.24697095408496902</v>
      </c>
      <c r="S75" s="67" t="str">
        <f t="shared" si="59"/>
        <v>1+0,00700327407768889i</v>
      </c>
      <c r="T75" s="67">
        <f t="shared" si="60"/>
        <v>1.0000245226232241</v>
      </c>
      <c r="U75" s="67">
        <f t="shared" si="61"/>
        <v>7.0031595872198519E-3</v>
      </c>
      <c r="V75" t="str">
        <f t="shared" si="62"/>
        <v>1-0,00145901543285185i</v>
      </c>
      <c r="W75" s="67">
        <f t="shared" si="63"/>
        <v>1.0000010643624502</v>
      </c>
      <c r="X75" s="67">
        <f t="shared" si="64"/>
        <v>-1.4590143975717941E-3</v>
      </c>
      <c r="Y75" t="str">
        <f t="shared" si="65"/>
        <v>0,999999911655407+0,00253163308898304i</v>
      </c>
      <c r="Z75" s="67">
        <f t="shared" si="66"/>
        <v>1.0000031162336041</v>
      </c>
      <c r="AA75" s="67">
        <f t="shared" si="67"/>
        <v>2.5316279041061977E-3</v>
      </c>
      <c r="AB75" s="92" t="str">
        <f t="shared" si="68"/>
        <v>12,929309532714-3,21831570373351i</v>
      </c>
      <c r="AC75" s="37">
        <f t="shared" si="69"/>
        <v>22.492585451182293</v>
      </c>
      <c r="AD75" s="60">
        <f t="shared" si="70"/>
        <v>-13.97778880521626</v>
      </c>
      <c r="AE75" t="str">
        <f t="shared" si="71"/>
        <v>21,0353732052265</v>
      </c>
      <c r="AF75" t="str">
        <f t="shared" si="72"/>
        <v>1+0,1260589333984i</v>
      </c>
      <c r="AG75">
        <f t="shared" si="73"/>
        <v>1.0079141107701302</v>
      </c>
      <c r="AH75">
        <f t="shared" si="74"/>
        <v>0.12539750041432279</v>
      </c>
      <c r="AI75" t="str">
        <f t="shared" si="50"/>
        <v>1+0,00700327407768889i</v>
      </c>
      <c r="AJ75">
        <f t="shared" si="75"/>
        <v>1.0000245226232241</v>
      </c>
      <c r="AK75">
        <f t="shared" si="76"/>
        <v>7.0031595872198519E-3</v>
      </c>
      <c r="AL75" t="str">
        <f t="shared" si="77"/>
        <v>1-0,000476512444977728i</v>
      </c>
      <c r="AM75">
        <f t="shared" si="78"/>
        <v>1.0000001135320487</v>
      </c>
      <c r="AN75">
        <f t="shared" si="79"/>
        <v>-4.765124089114415E-4</v>
      </c>
      <c r="AO75" s="58" t="str">
        <f t="shared" si="80"/>
        <v>20,7234372654588-2,47508153126676i</v>
      </c>
      <c r="AP75">
        <f t="shared" si="81"/>
        <v>26.390747908879334</v>
      </c>
      <c r="AQ75" s="60">
        <f t="shared" si="82"/>
        <v>-6.8107981975426517</v>
      </c>
      <c r="AR75" t="str">
        <f t="shared" si="83"/>
        <v>-1,05811623246493</v>
      </c>
      <c r="AS75" t="str">
        <f t="shared" si="51"/>
        <v>1+0,00690242693097016i</v>
      </c>
      <c r="AT75">
        <f t="shared" si="84"/>
        <v>1.0000238214650377</v>
      </c>
      <c r="AU75">
        <f t="shared" si="85"/>
        <v>6.9023173155167922E-3</v>
      </c>
      <c r="AV75" t="str">
        <f t="shared" si="52"/>
        <v>1+0,00690242693097016i</v>
      </c>
      <c r="AW75">
        <f t="shared" si="86"/>
        <v>1.0000238214650377</v>
      </c>
      <c r="AX75">
        <f t="shared" si="87"/>
        <v>6.9023173155167922E-3</v>
      </c>
      <c r="AY75" t="str">
        <f t="shared" si="53"/>
        <v>1-3,68776746340257i</v>
      </c>
      <c r="AZ75">
        <f t="shared" si="88"/>
        <v>3.82094606925178</v>
      </c>
      <c r="BA75">
        <f t="shared" si="89"/>
        <v>-1.3059973180037012</v>
      </c>
      <c r="BB75" s="58" t="str">
        <f t="shared" si="90"/>
        <v>-1,03113323793558+3,90920393641322i</v>
      </c>
      <c r="BC75">
        <f t="shared" si="91"/>
        <v>12.133878787689397</v>
      </c>
      <c r="BD75" s="60">
        <f t="shared" si="92"/>
        <v>104.77639197194397</v>
      </c>
      <c r="BE75" s="58" t="str">
        <f t="shared" si="93"/>
        <v>-0,750788385083228+53,8618200126802i</v>
      </c>
      <c r="BF75" s="37">
        <f t="shared" si="94"/>
        <v>34.626464238871691</v>
      </c>
      <c r="BG75" s="60">
        <f t="shared" si="95"/>
        <v>90.798603166727702</v>
      </c>
      <c r="BH75" s="58" t="str">
        <f t="shared" si="96"/>
        <v>-11,6930265037157+83,5642813676336i</v>
      </c>
      <c r="BI75" s="37">
        <f t="shared" si="97"/>
        <v>38.524626696568738</v>
      </c>
      <c r="BJ75" s="60">
        <f t="shared" si="98"/>
        <v>97.965593774401299</v>
      </c>
      <c r="BK75">
        <f t="shared" si="99"/>
        <v>34.626464238871691</v>
      </c>
      <c r="BL75" s="60">
        <f t="shared" si="100"/>
        <v>90.798603166727702</v>
      </c>
      <c r="BN75">
        <f t="shared" si="101"/>
        <v>0</v>
      </c>
      <c r="BO75">
        <f t="shared" si="102"/>
        <v>0</v>
      </c>
    </row>
    <row r="76" spans="1:67" x14ac:dyDescent="0.25">
      <c r="M76" s="66">
        <v>58</v>
      </c>
      <c r="N76" s="36">
        <f t="shared" si="54"/>
        <v>38.018939632056139</v>
      </c>
      <c r="O76" s="91" t="str">
        <f t="shared" si="55"/>
        <v>13,7404580152672</v>
      </c>
      <c r="P76" s="67" t="str">
        <f t="shared" si="56"/>
        <v>1+0,257990446321938i</v>
      </c>
      <c r="Q76" s="67">
        <f t="shared" si="57"/>
        <v>1.0327434678531706</v>
      </c>
      <c r="R76" s="67">
        <f t="shared" si="58"/>
        <v>0.25248482957300383</v>
      </c>
      <c r="S76" s="67" t="str">
        <f t="shared" si="59"/>
        <v>1+0,0071664012867205i</v>
      </c>
      <c r="T76" s="67">
        <f t="shared" si="60"/>
        <v>1.0000256783240131</v>
      </c>
      <c r="U76" s="67">
        <f t="shared" si="61"/>
        <v>7.1662786081427921E-3</v>
      </c>
      <c r="V76" t="str">
        <f t="shared" si="62"/>
        <v>1-0,00149300026806677i</v>
      </c>
      <c r="W76" s="67">
        <f t="shared" si="63"/>
        <v>1.0000011145242791</v>
      </c>
      <c r="X76" s="67">
        <f t="shared" si="64"/>
        <v>-1.4929991587442704E-3</v>
      </c>
      <c r="Y76" t="str">
        <f t="shared" si="65"/>
        <v>0,999999907491855+0,00259060239898242i</v>
      </c>
      <c r="Z76" s="67">
        <f t="shared" si="66"/>
        <v>1.00000326309693</v>
      </c>
      <c r="AA76" s="67">
        <f t="shared" si="67"/>
        <v>2.590596843287767E-3</v>
      </c>
      <c r="AB76" s="92" t="str">
        <f t="shared" si="68"/>
        <v>12,8934669253143-3,28403288620484i</v>
      </c>
      <c r="AC76" s="37">
        <f t="shared" si="69"/>
        <v>22.480379428430766</v>
      </c>
      <c r="AD76" s="60">
        <f t="shared" si="70"/>
        <v>-14.289690422704435</v>
      </c>
      <c r="AE76" t="str">
        <f t="shared" si="71"/>
        <v>21,0353732052265</v>
      </c>
      <c r="AF76" t="str">
        <f t="shared" si="72"/>
        <v>1+0,128995223160969i</v>
      </c>
      <c r="AG76">
        <f t="shared" si="73"/>
        <v>1.0082855585588579</v>
      </c>
      <c r="AH76">
        <f t="shared" si="74"/>
        <v>0.12828679911917765</v>
      </c>
      <c r="AI76" t="str">
        <f t="shared" si="50"/>
        <v>1+0,0071664012867205i</v>
      </c>
      <c r="AJ76">
        <f t="shared" si="75"/>
        <v>1.0000256783240131</v>
      </c>
      <c r="AK76">
        <f t="shared" si="76"/>
        <v>7.1662786081427921E-3</v>
      </c>
      <c r="AL76" t="str">
        <f t="shared" si="77"/>
        <v>1-0,000487611845680278i</v>
      </c>
      <c r="AM76">
        <f t="shared" si="78"/>
        <v>1.0000001188826491</v>
      </c>
      <c r="AN76">
        <f t="shared" si="79"/>
        <v>-4.8761180703455598E-4</v>
      </c>
      <c r="AO76" s="58" t="str">
        <f t="shared" si="80"/>
        <v>20,7089767963775-2,53086825483264i</v>
      </c>
      <c r="AP76">
        <f t="shared" si="81"/>
        <v>26.387557561822454</v>
      </c>
      <c r="AQ76" s="60">
        <f t="shared" si="82"/>
        <v>-6.9676327362938517</v>
      </c>
      <c r="AR76" t="str">
        <f t="shared" si="83"/>
        <v>-1,05811623246493</v>
      </c>
      <c r="AS76" t="str">
        <f t="shared" si="51"/>
        <v>1+0,00706320510819172i</v>
      </c>
      <c r="AT76">
        <f t="shared" si="84"/>
        <v>1.0000249441220956</v>
      </c>
      <c r="AU76">
        <f t="shared" si="85"/>
        <v>7.0630876532755153E-3</v>
      </c>
      <c r="AV76" t="str">
        <f t="shared" si="52"/>
        <v>1+0,00706320510819172i</v>
      </c>
      <c r="AW76">
        <f t="shared" si="86"/>
        <v>1.0000249441220956</v>
      </c>
      <c r="AX76">
        <f t="shared" si="87"/>
        <v>7.0630876532755153E-3</v>
      </c>
      <c r="AY76" t="str">
        <f t="shared" si="53"/>
        <v>1-3,60382362746679i</v>
      </c>
      <c r="AZ76">
        <f t="shared" si="88"/>
        <v>3.7399926120098006</v>
      </c>
      <c r="BA76">
        <f t="shared" si="89"/>
        <v>-1.3001231054573394</v>
      </c>
      <c r="BB76" s="58" t="str">
        <f t="shared" si="90"/>
        <v>-1,03113092277661+3,82054736836423i</v>
      </c>
      <c r="BC76">
        <f t="shared" si="91"/>
        <v>11.947865764918726</v>
      </c>
      <c r="BD76" s="60">
        <f t="shared" si="92"/>
        <v>105.10374809698872</v>
      </c>
      <c r="BE76" s="58" t="str">
        <f t="shared" si="93"/>
        <v>-0,748049247477544+52,6463689909819i</v>
      </c>
      <c r="BF76" s="37">
        <f t="shared" si="94"/>
        <v>34.42824519334949</v>
      </c>
      <c r="BG76" s="60">
        <f t="shared" si="95"/>
        <v>90.814057674284285</v>
      </c>
      <c r="BH76" s="58" t="str">
        <f t="shared" si="96"/>
        <v>-11,6843643031307+81,7292833199476i</v>
      </c>
      <c r="BI76" s="37">
        <f t="shared" si="97"/>
        <v>38.335423326741186</v>
      </c>
      <c r="BJ76" s="60">
        <f t="shared" si="98"/>
        <v>98.136115360694859</v>
      </c>
      <c r="BK76">
        <f t="shared" si="99"/>
        <v>34.42824519334949</v>
      </c>
      <c r="BL76" s="60">
        <f t="shared" si="100"/>
        <v>90.814057674284285</v>
      </c>
      <c r="BN76">
        <f t="shared" si="101"/>
        <v>0</v>
      </c>
      <c r="BO76">
        <f t="shared" si="102"/>
        <v>0</v>
      </c>
    </row>
    <row r="77" spans="1:67" x14ac:dyDescent="0.25">
      <c r="A77" t="str">
        <f>"Crossover Frequency = "&amp;B77</f>
        <v>Crossover Frequency = 2,1 kHz</v>
      </c>
      <c r="B77" t="str">
        <f>ROUND(D77,1)&amp;" kHz"</f>
        <v>2,1 kHz</v>
      </c>
      <c r="D77">
        <f>BO12</f>
        <v>2.0892961308540396</v>
      </c>
      <c r="M77" s="66">
        <v>59</v>
      </c>
      <c r="N77" s="36">
        <f t="shared" si="54"/>
        <v>38.904514499428053</v>
      </c>
      <c r="O77" s="91" t="str">
        <f t="shared" si="55"/>
        <v>13,7404580152672</v>
      </c>
      <c r="P77" s="67" t="str">
        <f t="shared" si="56"/>
        <v>1+0,263999815796623i</v>
      </c>
      <c r="Q77" s="67">
        <f t="shared" si="57"/>
        <v>1.0342610418751403</v>
      </c>
      <c r="R77" s="67">
        <f t="shared" si="58"/>
        <v>0.25811094418154068</v>
      </c>
      <c r="S77" s="67" t="str">
        <f t="shared" si="59"/>
        <v>1+0,00733332821657287i</v>
      </c>
      <c r="T77" s="67">
        <f t="shared" si="60"/>
        <v>1.0000268884898706</v>
      </c>
      <c r="U77" s="67">
        <f t="shared" si="61"/>
        <v>7.3331967642994086E-3</v>
      </c>
      <c r="V77" t="str">
        <f t="shared" si="62"/>
        <v>1-0,00152777671178601i</v>
      </c>
      <c r="W77" s="67">
        <f t="shared" si="63"/>
        <v>1.0000011670501596</v>
      </c>
      <c r="X77" s="67">
        <f t="shared" si="64"/>
        <v>-1.5277755231256109E-3</v>
      </c>
      <c r="Y77" t="str">
        <f t="shared" si="65"/>
        <v>0,99999990313208+0,00265094528066442i</v>
      </c>
      <c r="Z77" s="67">
        <f t="shared" si="66"/>
        <v>1.0000034168816878</v>
      </c>
      <c r="AA77" s="67">
        <f t="shared" si="67"/>
        <v>2.6509393276314443E-3</v>
      </c>
      <c r="AB77" s="92" t="str">
        <f t="shared" si="68"/>
        <v>12,856150274177-3,35067628189315i</v>
      </c>
      <c r="AC77" s="37">
        <f t="shared" si="69"/>
        <v>22.467634871243625</v>
      </c>
      <c r="AD77" s="60">
        <f t="shared" si="70"/>
        <v>-14.607929247542687</v>
      </c>
      <c r="AE77" t="str">
        <f t="shared" si="71"/>
        <v>21,0353732052265</v>
      </c>
      <c r="AF77" t="str">
        <f t="shared" si="72"/>
        <v>1+0,131999907898312i</v>
      </c>
      <c r="AG77">
        <f t="shared" si="73"/>
        <v>1.0086743655338739</v>
      </c>
      <c r="AH77">
        <f t="shared" si="74"/>
        <v>0.13124116998542501</v>
      </c>
      <c r="AI77" t="str">
        <f t="shared" si="50"/>
        <v>1+0,00733332821657287i</v>
      </c>
      <c r="AJ77">
        <f t="shared" si="75"/>
        <v>1.0000268884898706</v>
      </c>
      <c r="AK77">
        <f t="shared" si="76"/>
        <v>7.3331967642994086E-3</v>
      </c>
      <c r="AL77" t="str">
        <f t="shared" si="77"/>
        <v>1-0,000498969784637713i</v>
      </c>
      <c r="AM77">
        <f t="shared" si="78"/>
        <v>1.0000001244854153</v>
      </c>
      <c r="AN77">
        <f t="shared" si="79"/>
        <v>-4.9896974322807613E-4</v>
      </c>
      <c r="AO77" s="58" t="str">
        <f t="shared" si="80"/>
        <v>20,6938576432952-2,5878240227417i</v>
      </c>
      <c r="AP77">
        <f t="shared" si="81"/>
        <v>26.384219384226633</v>
      </c>
      <c r="AQ77" s="60">
        <f t="shared" si="82"/>
        <v>-7.1279927739822062</v>
      </c>
      <c r="AR77" t="str">
        <f t="shared" si="83"/>
        <v>-1,05811623246493</v>
      </c>
      <c r="AS77" t="str">
        <f t="shared" si="51"/>
        <v>1+0,00722772829025421i</v>
      </c>
      <c r="AT77">
        <f t="shared" si="84"/>
        <v>1.0000261196869997</v>
      </c>
      <c r="AU77">
        <f t="shared" si="85"/>
        <v>7.227602435221539E-3</v>
      </c>
      <c r="AV77" t="str">
        <f t="shared" si="52"/>
        <v>1+0,00722772829025421i</v>
      </c>
      <c r="AW77">
        <f t="shared" si="86"/>
        <v>1.0000261196869997</v>
      </c>
      <c r="AX77">
        <f t="shared" si="87"/>
        <v>7.227602435221539E-3</v>
      </c>
      <c r="AY77" t="str">
        <f t="shared" si="53"/>
        <v>1-3,52179058652054i</v>
      </c>
      <c r="AZ77">
        <f t="shared" si="88"/>
        <v>3.6610120097187182</v>
      </c>
      <c r="BA77">
        <f t="shared" si="89"/>
        <v>-1.2941318269092399</v>
      </c>
      <c r="BB77" s="58" t="str">
        <f t="shared" si="90"/>
        <v>-1,03112849851871+3,7339165035592i</v>
      </c>
      <c r="BC77">
        <f t="shared" si="91"/>
        <v>11.762463739642488</v>
      </c>
      <c r="BD77" s="60">
        <f t="shared" si="92"/>
        <v>105.43759706900913</v>
      </c>
      <c r="BE77" s="58" t="str">
        <f t="shared" si="93"/>
        <v>-0,745197461897821+51,4587694845574i</v>
      </c>
      <c r="BF77" s="37">
        <f t="shared" si="94"/>
        <v>34.230098610886117</v>
      </c>
      <c r="BG77" s="60">
        <f t="shared" si="95"/>
        <v>90.829667821466444</v>
      </c>
      <c r="BH77" s="58" t="str">
        <f t="shared" si="96"/>
        <v>-11,6753075334687+79,9375156756049i</v>
      </c>
      <c r="BI77" s="37">
        <f t="shared" si="97"/>
        <v>38.146683123869117</v>
      </c>
      <c r="BJ77" s="60">
        <f t="shared" si="98"/>
        <v>98.309604295026915</v>
      </c>
      <c r="BK77">
        <f t="shared" si="99"/>
        <v>34.230098610886117</v>
      </c>
      <c r="BL77" s="60">
        <f t="shared" si="100"/>
        <v>90.829667821466444</v>
      </c>
      <c r="BN77">
        <f t="shared" si="101"/>
        <v>0</v>
      </c>
      <c r="BO77">
        <f t="shared" si="102"/>
        <v>0</v>
      </c>
    </row>
    <row r="78" spans="1:67" x14ac:dyDescent="0.25">
      <c r="A78" t="str">
        <f>"Phase Margin = "&amp;B78</f>
        <v>Phase Margin = 78°</v>
      </c>
      <c r="B78" t="str">
        <f>ROUND(D78,0)&amp;"°"</f>
        <v>78°</v>
      </c>
      <c r="D78" s="36">
        <f>BO14</f>
        <v>77.769357938938654</v>
      </c>
      <c r="M78" s="66">
        <v>60</v>
      </c>
      <c r="N78" s="36">
        <f t="shared" si="54"/>
        <v>39.810717055349755</v>
      </c>
      <c r="O78" s="91" t="str">
        <f t="shared" si="55"/>
        <v>13,7404580152672</v>
      </c>
      <c r="P78" s="67" t="str">
        <f t="shared" si="56"/>
        <v>1+0,270149161468094i</v>
      </c>
      <c r="Q78" s="67">
        <f t="shared" si="57"/>
        <v>1.0358477539879662</v>
      </c>
      <c r="R78" s="67">
        <f t="shared" si="58"/>
        <v>0.26385085568348754</v>
      </c>
      <c r="S78" s="67" t="str">
        <f t="shared" si="59"/>
        <v>1+0,00750414337411372i</v>
      </c>
      <c r="T78" s="67">
        <f t="shared" si="60"/>
        <v>1.0000281556875183</v>
      </c>
      <c r="U78" s="67">
        <f t="shared" si="61"/>
        <v>7.5040025206791717E-3</v>
      </c>
      <c r="V78" t="str">
        <f t="shared" si="62"/>
        <v>1-0,00156336320294036i</v>
      </c>
      <c r="W78" s="67">
        <f t="shared" si="63"/>
        <v>1.0000012220515055</v>
      </c>
      <c r="X78" s="67">
        <f t="shared" si="64"/>
        <v>-1.5633619292678791E-3</v>
      </c>
      <c r="Y78" t="str">
        <f t="shared" si="65"/>
        <v>0,999999898566836+0,00271269372862363i</v>
      </c>
      <c r="Z78" s="67">
        <f t="shared" si="66"/>
        <v>1.0000035779140732</v>
      </c>
      <c r="AA78" s="67">
        <f t="shared" si="67"/>
        <v>2.7126873498351032E-3</v>
      </c>
      <c r="AB78" s="92" t="str">
        <f t="shared" si="68"/>
        <v>12,8173087979909-3,41823060077927i</v>
      </c>
      <c r="AC78" s="37">
        <f t="shared" si="69"/>
        <v>22.454329705815098</v>
      </c>
      <c r="AD78" s="60">
        <f t="shared" si="70"/>
        <v>-14.932592354371323</v>
      </c>
      <c r="AE78" t="str">
        <f t="shared" si="71"/>
        <v>21,0353732052265</v>
      </c>
      <c r="AF78" t="str">
        <f t="shared" si="72"/>
        <v>1+0,135074580734047i</v>
      </c>
      <c r="AG78">
        <f t="shared" si="73"/>
        <v>1.0090813358498305</v>
      </c>
      <c r="AH78">
        <f t="shared" si="74"/>
        <v>0.13426197305684506</v>
      </c>
      <c r="AI78" t="str">
        <f t="shared" si="50"/>
        <v>1+0,00750414337411372i</v>
      </c>
      <c r="AJ78">
        <f t="shared" si="75"/>
        <v>1.0000281556875183</v>
      </c>
      <c r="AK78">
        <f t="shared" si="76"/>
        <v>7.5040025206791717E-3</v>
      </c>
      <c r="AL78" t="str">
        <f t="shared" si="77"/>
        <v>1-0,000510592283979607i</v>
      </c>
      <c r="AM78">
        <f t="shared" si="78"/>
        <v>1.0000001303522317</v>
      </c>
      <c r="AN78">
        <f t="shared" si="79"/>
        <v>-5.1059223960838189E-4</v>
      </c>
      <c r="AO78" s="58" t="str">
        <f t="shared" si="80"/>
        <v>20,6780509068807-2,64596709943341i</v>
      </c>
      <c r="AP78">
        <f t="shared" si="81"/>
        <v>26.380726648475235</v>
      </c>
      <c r="AQ78" s="60">
        <f t="shared" si="82"/>
        <v>-7.291951511747663</v>
      </c>
      <c r="AR78" t="str">
        <f t="shared" si="83"/>
        <v>-1,05811623246493</v>
      </c>
      <c r="AS78" t="str">
        <f t="shared" si="51"/>
        <v>1+0,00739608370952648i</v>
      </c>
      <c r="AT78">
        <f t="shared" si="84"/>
        <v>1.0000273506530901</v>
      </c>
      <c r="AU78">
        <f t="shared" si="85"/>
        <v>7.3959488536285119E-3</v>
      </c>
      <c r="AV78" t="str">
        <f t="shared" si="52"/>
        <v>1+0,00739608370952648i</v>
      </c>
      <c r="AW78">
        <f t="shared" si="86"/>
        <v>1.0000273506530901</v>
      </c>
      <c r="AX78">
        <f t="shared" si="87"/>
        <v>7.3959488536285119E-3</v>
      </c>
      <c r="AY78" t="str">
        <f t="shared" si="53"/>
        <v>1-3,44162484555967i</v>
      </c>
      <c r="AZ78">
        <f t="shared" si="88"/>
        <v>3.5839617154168404</v>
      </c>
      <c r="BA78">
        <f t="shared" si="89"/>
        <v>-1.2880220268592286</v>
      </c>
      <c r="BB78" s="58" t="str">
        <f t="shared" si="90"/>
        <v>-1,03112596002127+3,64926540905667i</v>
      </c>
      <c r="BC78">
        <f t="shared" si="91"/>
        <v>11.577697212620631</v>
      </c>
      <c r="BD78" s="60">
        <f t="shared" si="92"/>
        <v>105.77801728627277</v>
      </c>
      <c r="BE78" s="58" t="str">
        <f t="shared" si="93"/>
        <v>-0,742229147614649+50,2983879435085i</v>
      </c>
      <c r="BF78" s="37">
        <f t="shared" si="94"/>
        <v>34.032026918435726</v>
      </c>
      <c r="BG78" s="60">
        <f t="shared" si="95"/>
        <v>90.845424931901448</v>
      </c>
      <c r="BH78" s="58" t="str">
        <f t="shared" si="96"/>
        <v>-11,6658388832617+78,1880212667806i</v>
      </c>
      <c r="BI78" s="37">
        <f t="shared" si="97"/>
        <v>37.958423861095859</v>
      </c>
      <c r="BJ78" s="60">
        <f t="shared" si="98"/>
        <v>98.486065774525102</v>
      </c>
      <c r="BK78">
        <f t="shared" si="99"/>
        <v>34.032026918435726</v>
      </c>
      <c r="BL78" s="60">
        <f t="shared" si="100"/>
        <v>90.845424931901448</v>
      </c>
      <c r="BN78">
        <f t="shared" si="101"/>
        <v>0</v>
      </c>
      <c r="BO78">
        <f t="shared" si="102"/>
        <v>0</v>
      </c>
    </row>
    <row r="79" spans="1:67" x14ac:dyDescent="0.25">
      <c r="M79" s="66">
        <v>61</v>
      </c>
      <c r="N79" s="36">
        <f t="shared" si="54"/>
        <v>40.738027780411279</v>
      </c>
      <c r="O79" s="91" t="str">
        <f t="shared" si="55"/>
        <v>13,7404580152672</v>
      </c>
      <c r="P79" s="67" t="str">
        <f t="shared" si="56"/>
        <v>1+0,276441743800822i</v>
      </c>
      <c r="Q79" s="67">
        <f t="shared" si="57"/>
        <v>1.037506644660958</v>
      </c>
      <c r="R79" s="67">
        <f t="shared" si="58"/>
        <v>0.26970609395234019</v>
      </c>
      <c r="S79" s="67" t="str">
        <f t="shared" si="59"/>
        <v>1+0,00767893732780063i</v>
      </c>
      <c r="T79" s="67">
        <f t="shared" si="60"/>
        <v>1.0000294826046301</v>
      </c>
      <c r="U79" s="67">
        <f t="shared" si="61"/>
        <v>7.6787864008666194E-3</v>
      </c>
      <c r="V79" t="str">
        <f t="shared" si="62"/>
        <v>1-0,00159977860995846i</v>
      </c>
      <c r="W79" s="67">
        <f t="shared" si="63"/>
        <v>1.0000012796449818</v>
      </c>
      <c r="X79" s="67">
        <f t="shared" si="64"/>
        <v>-1.5997772451939027E-3</v>
      </c>
      <c r="Y79" t="str">
        <f t="shared" si="65"/>
        <v>0,999999893786438+0,00277588048270451i</v>
      </c>
      <c r="Z79" s="67">
        <f t="shared" si="66"/>
        <v>1.0000037465356526</v>
      </c>
      <c r="AA79" s="67">
        <f t="shared" si="67"/>
        <v>2.7758736477108432E-3</v>
      </c>
      <c r="AB79" s="92" t="str">
        <f t="shared" si="68"/>
        <v>12,7768908468265-3,48667824767067i</v>
      </c>
      <c r="AC79" s="37">
        <f t="shared" si="69"/>
        <v>22.440441104520303</v>
      </c>
      <c r="AD79" s="60">
        <f t="shared" si="70"/>
        <v>-15.263765168661893</v>
      </c>
      <c r="AE79" t="str">
        <f t="shared" si="71"/>
        <v>21,0353732052265</v>
      </c>
      <c r="AF79" t="str">
        <f t="shared" si="72"/>
        <v>1+0,138220871900411i</v>
      </c>
      <c r="AG79">
        <f t="shared" si="73"/>
        <v>1.0095073102404508</v>
      </c>
      <c r="AH79">
        <f t="shared" si="74"/>
        <v>0.13735058936189673</v>
      </c>
      <c r="AI79" t="str">
        <f t="shared" si="50"/>
        <v>1+0,00767893732780063i</v>
      </c>
      <c r="AJ79">
        <f t="shared" si="75"/>
        <v>1.0000294826046301</v>
      </c>
      <c r="AK79">
        <f t="shared" si="76"/>
        <v>7.6787864008666194E-3</v>
      </c>
      <c r="AL79" t="str">
        <f t="shared" si="77"/>
        <v>1-0,000522485506108958i</v>
      </c>
      <c r="AM79">
        <f t="shared" si="78"/>
        <v>1.0000001364955429</v>
      </c>
      <c r="AN79">
        <f t="shared" si="79"/>
        <v>-5.2248545856433402E-4</v>
      </c>
      <c r="AO79" s="58" t="str">
        <f t="shared" si="80"/>
        <v>20,6615265242593-2,70531557608208i</v>
      </c>
      <c r="AP79">
        <f t="shared" si="81"/>
        <v>26.377072332366911</v>
      </c>
      <c r="AQ79" s="60">
        <f t="shared" si="82"/>
        <v>-7.4595832431517266</v>
      </c>
      <c r="AR79" t="str">
        <f t="shared" si="83"/>
        <v>-1,05811623246493</v>
      </c>
      <c r="AS79" t="str">
        <f t="shared" si="51"/>
        <v>1+0,00756836063028029i</v>
      </c>
      <c r="AT79">
        <f t="shared" si="84"/>
        <v>1.0000286396312008</v>
      </c>
      <c r="AU79">
        <f t="shared" si="85"/>
        <v>7.5682161298056983E-3</v>
      </c>
      <c r="AV79" t="str">
        <f t="shared" si="52"/>
        <v>1+0,00756836063028029i</v>
      </c>
      <c r="AW79">
        <f t="shared" si="86"/>
        <v>1.0000286396312008</v>
      </c>
      <c r="AX79">
        <f t="shared" si="87"/>
        <v>7.5682161298056983E-3</v>
      </c>
      <c r="AY79" t="str">
        <f t="shared" si="53"/>
        <v>1-3,3632838996472i</v>
      </c>
      <c r="AZ79">
        <f t="shared" si="88"/>
        <v>3.5088001638204012</v>
      </c>
      <c r="BA79">
        <f t="shared" si="89"/>
        <v>-1.2817922911317858</v>
      </c>
      <c r="BB79" s="58" t="str">
        <f t="shared" si="90"/>
        <v>-1,03112330190152+3,56654920160773i</v>
      </c>
      <c r="BC79">
        <f t="shared" si="91"/>
        <v>11.393591473294292</v>
      </c>
      <c r="BD79" s="60">
        <f t="shared" si="92"/>
        <v>106.1250846630638</v>
      </c>
      <c r="BE79" s="58" t="str">
        <f t="shared" si="93"/>
        <v>-0,739140357522183+49,1646050361846i</v>
      </c>
      <c r="BF79" s="37">
        <f t="shared" si="94"/>
        <v>33.834032577814604</v>
      </c>
      <c r="BG79" s="60">
        <f t="shared" si="95"/>
        <v>90.861319494401897</v>
      </c>
      <c r="BH79" s="58" t="str">
        <f t="shared" si="96"/>
        <v>-11,6559403440476+76,4798648585893i</v>
      </c>
      <c r="BI79" s="37">
        <f t="shared" si="97"/>
        <v>37.770663805661201</v>
      </c>
      <c r="BJ79" s="60">
        <f t="shared" si="98"/>
        <v>98.66550141991209</v>
      </c>
      <c r="BK79">
        <f t="shared" si="99"/>
        <v>33.834032577814604</v>
      </c>
      <c r="BL79" s="60">
        <f t="shared" si="100"/>
        <v>90.861319494401897</v>
      </c>
      <c r="BN79">
        <f t="shared" si="101"/>
        <v>0</v>
      </c>
      <c r="BO79">
        <f t="shared" si="102"/>
        <v>0</v>
      </c>
    </row>
    <row r="80" spans="1:67" x14ac:dyDescent="0.25">
      <c r="M80" s="66">
        <v>62</v>
      </c>
      <c r="N80" s="36">
        <f t="shared" si="54"/>
        <v>41.686938347033561</v>
      </c>
      <c r="O80" s="91" t="str">
        <f t="shared" si="55"/>
        <v>13,7404580152672</v>
      </c>
      <c r="P80" s="67" t="str">
        <f t="shared" si="56"/>
        <v>1+0,282880899205254i</v>
      </c>
      <c r="Q80" s="67">
        <f t="shared" si="57"/>
        <v>1.0392408783026066</v>
      </c>
      <c r="R80" s="67">
        <f t="shared" si="58"/>
        <v>0.27567815694656722</v>
      </c>
      <c r="S80" s="67" t="str">
        <f t="shared" si="59"/>
        <v>1+0,0078578027557015i</v>
      </c>
      <c r="T80" s="67">
        <f t="shared" si="60"/>
        <v>1.000030872055532</v>
      </c>
      <c r="U80" s="67">
        <f t="shared" si="61"/>
        <v>7.8576410348476667E-3</v>
      </c>
      <c r="V80" t="str">
        <f t="shared" si="62"/>
        <v>1-0,00163704224077114i</v>
      </c>
      <c r="W80" s="67">
        <f t="shared" si="63"/>
        <v>1.0000013399527512</v>
      </c>
      <c r="X80" s="67">
        <f t="shared" si="64"/>
        <v>-1.6370407783996754E-3</v>
      </c>
      <c r="Y80" t="str">
        <f t="shared" si="65"/>
        <v>0,999999888780747+0,00284053904536045i</v>
      </c>
      <c r="Z80" s="67">
        <f t="shared" si="66"/>
        <v>1.000003923104092</v>
      </c>
      <c r="AA80" s="67">
        <f t="shared" si="67"/>
        <v>2.8405317215343365E-3</v>
      </c>
      <c r="AB80" s="92" t="str">
        <f t="shared" si="68"/>
        <v>12,7348439722736-3,55599919892272i</v>
      </c>
      <c r="AC80" s="37">
        <f t="shared" si="69"/>
        <v>22.4259454736662</v>
      </c>
      <c r="AD80" s="60">
        <f t="shared" si="70"/>
        <v>-15.601531235467901</v>
      </c>
      <c r="AE80" t="str">
        <f t="shared" si="71"/>
        <v>21,0353732052265</v>
      </c>
      <c r="AF80" t="str">
        <f t="shared" si="72"/>
        <v>1+0,141440449602627i</v>
      </c>
      <c r="AG80">
        <f t="shared" si="73"/>
        <v>1.0099531676190701</v>
      </c>
      <c r="AH80">
        <f t="shared" si="74"/>
        <v>0.14050842068956959</v>
      </c>
      <c r="AI80" t="str">
        <f t="shared" si="50"/>
        <v>1+0,0078578027557015i</v>
      </c>
      <c r="AJ80">
        <f t="shared" si="75"/>
        <v>1.000030872055532</v>
      </c>
      <c r="AK80">
        <f t="shared" si="76"/>
        <v>7.8576410348476667E-3</v>
      </c>
      <c r="AL80" t="str">
        <f t="shared" si="77"/>
        <v>1-0,00053465575696956i</v>
      </c>
      <c r="AM80">
        <f t="shared" si="78"/>
        <v>1.0000001429283789</v>
      </c>
      <c r="AN80">
        <f t="shared" si="79"/>
        <v>-5.3465570602457798E-4</v>
      </c>
      <c r="AO80" s="58" t="str">
        <f t="shared" si="80"/>
        <v>20,6442532321237-2,765887328707i</v>
      </c>
      <c r="AP80">
        <f t="shared" si="81"/>
        <v>26.37324910731083</v>
      </c>
      <c r="AQ80" s="60">
        <f t="shared" si="82"/>
        <v>-7.6309633387832063</v>
      </c>
      <c r="AR80" t="str">
        <f t="shared" si="83"/>
        <v>-1,05811623246493</v>
      </c>
      <c r="AS80" t="str">
        <f t="shared" si="51"/>
        <v>1+0,00774465039601939i</v>
      </c>
      <c r="AT80">
        <f t="shared" si="84"/>
        <v>1.0000299893551976</v>
      </c>
      <c r="AU80">
        <f t="shared" si="85"/>
        <v>7.7444955612220251E-3</v>
      </c>
      <c r="AV80" t="str">
        <f t="shared" si="52"/>
        <v>1+0,00774465039601939i</v>
      </c>
      <c r="AW80">
        <f t="shared" si="86"/>
        <v>1.0000299893551976</v>
      </c>
      <c r="AX80">
        <f t="shared" si="87"/>
        <v>7.7444955612220251E-3</v>
      </c>
      <c r="AY80" t="str">
        <f t="shared" si="53"/>
        <v>1-3,28672621137665i</v>
      </c>
      <c r="AZ80">
        <f t="shared" si="88"/>
        <v>3.43548674696182</v>
      </c>
      <c r="BA80">
        <f t="shared" si="89"/>
        <v>-1.275441251562943</v>
      </c>
      <c r="BB80" s="58" t="str">
        <f t="shared" si="90"/>
        <v>-1,03112051852315+3,48572402385771i</v>
      </c>
      <c r="BC80">
        <f t="shared" si="91"/>
        <v>11.210172608030099</v>
      </c>
      <c r="BD80" s="60">
        <f t="shared" si="92"/>
        <v>106.47887235844414</v>
      </c>
      <c r="BE80" s="58" t="str">
        <f t="shared" si="93"/>
        <v>-0,735927083498471+48,0568153120947i</v>
      </c>
      <c r="BF80" s="37">
        <f t="shared" si="94"/>
        <v>33.636118081696289</v>
      </c>
      <c r="BG80" s="60">
        <f t="shared" si="95"/>
        <v>90.877341122976233</v>
      </c>
      <c r="BH80" s="58" t="str">
        <f t="shared" si="96"/>
        <v>-11,645593188273+74,8121326223687i</v>
      </c>
      <c r="BI80" s="37">
        <f t="shared" si="97"/>
        <v>37.583421715340926</v>
      </c>
      <c r="BJ80" s="60">
        <f t="shared" si="98"/>
        <v>98.847909019660946</v>
      </c>
      <c r="BK80">
        <f t="shared" si="99"/>
        <v>33.636118081696289</v>
      </c>
      <c r="BL80" s="60">
        <f t="shared" si="100"/>
        <v>90.877341122976233</v>
      </c>
      <c r="BN80">
        <f t="shared" si="101"/>
        <v>0</v>
      </c>
      <c r="BO80">
        <f t="shared" si="102"/>
        <v>0</v>
      </c>
    </row>
    <row r="81" spans="2:67" x14ac:dyDescent="0.25">
      <c r="M81" s="66">
        <v>63</v>
      </c>
      <c r="N81" s="36">
        <f t="shared" si="54"/>
        <v>42.657951880159267</v>
      </c>
      <c r="O81" s="91" t="str">
        <f t="shared" si="55"/>
        <v>13,7404580152672</v>
      </c>
      <c r="P81" s="67" t="str">
        <f t="shared" si="56"/>
        <v>1+0,289470041806814i</v>
      </c>
      <c r="Q81" s="67">
        <f t="shared" si="57"/>
        <v>1.0410537474615029</v>
      </c>
      <c r="R81" s="67">
        <f t="shared" si="58"/>
        <v>0.2817685064835263</v>
      </c>
      <c r="S81" s="67" t="str">
        <f t="shared" si="59"/>
        <v>1+0,00804083449463374i</v>
      </c>
      <c r="T81" s="67">
        <f t="shared" si="60"/>
        <v>1.000032326987168</v>
      </c>
      <c r="U81" s="67">
        <f t="shared" si="61"/>
        <v>8.0406612079193373E-3</v>
      </c>
      <c r="V81" t="str">
        <f t="shared" si="62"/>
        <v>1-0,00167517385304869i</v>
      </c>
      <c r="W81" s="67">
        <f t="shared" si="63"/>
        <v>1.0000014031027347</v>
      </c>
      <c r="X81" s="67">
        <f t="shared" si="64"/>
        <v>-1.6751722860895528E-3</v>
      </c>
      <c r="Y81" t="str">
        <f t="shared" si="65"/>
        <v>0,999999883539145+0,00290670369941721i</v>
      </c>
      <c r="Z81" s="67">
        <f t="shared" si="66"/>
        <v>1.0000041079939119</v>
      </c>
      <c r="AA81" s="67">
        <f t="shared" si="67"/>
        <v>2.9066958517978817E-3</v>
      </c>
      <c r="AB81" s="92" t="str">
        <f t="shared" si="68"/>
        <v>12,6911150071986-3,6261708777107i</v>
      </c>
      <c r="AC81" s="37">
        <f t="shared" si="69"/>
        <v>22.41081844234855</v>
      </c>
      <c r="AD81" s="60">
        <f t="shared" si="70"/>
        <v>-15.94597197608876</v>
      </c>
      <c r="AE81" t="str">
        <f t="shared" si="71"/>
        <v>21,0353732052265</v>
      </c>
      <c r="AF81" t="str">
        <f t="shared" si="72"/>
        <v>1+0,144735020903407i</v>
      </c>
      <c r="AG81">
        <f t="shared" si="73"/>
        <v>1.0104198267432749</v>
      </c>
      <c r="AH81">
        <f t="shared" si="74"/>
        <v>0.14373688931508269</v>
      </c>
      <c r="AI81" t="str">
        <f t="shared" si="50"/>
        <v>1+0,00804083449463374i</v>
      </c>
      <c r="AJ81">
        <f t="shared" si="75"/>
        <v>1.000032326987168</v>
      </c>
      <c r="AK81">
        <f t="shared" si="76"/>
        <v>8.0406612079193373E-3</v>
      </c>
      <c r="AL81" t="str">
        <f t="shared" si="77"/>
        <v>1-0,000547109489389513i</v>
      </c>
      <c r="AM81">
        <f t="shared" si="78"/>
        <v>1.0000001496643856</v>
      </c>
      <c r="AN81">
        <f t="shared" si="79"/>
        <v>-5.4710943480098173E-4</v>
      </c>
      <c r="AO81" s="58" t="str">
        <f t="shared" si="80"/>
        <v>20,6261985296699-2,82769997316695i</v>
      </c>
      <c r="AP81">
        <f t="shared" si="81"/>
        <v>26.369249326153763</v>
      </c>
      <c r="AQ81" s="60">
        <f t="shared" si="82"/>
        <v>-7.8061682279308506</v>
      </c>
      <c r="AR81" t="str">
        <f t="shared" si="83"/>
        <v>-1,05811623246493</v>
      </c>
      <c r="AS81" t="str">
        <f t="shared" si="51"/>
        <v>1+0,00792504647791101i</v>
      </c>
      <c r="AT81">
        <f t="shared" si="84"/>
        <v>1.0000314026877741</v>
      </c>
      <c r="AU81">
        <f t="shared" si="85"/>
        <v>7.9248805697178844E-3</v>
      </c>
      <c r="AV81" t="str">
        <f t="shared" si="52"/>
        <v>1+0,00792504647791101i</v>
      </c>
      <c r="AW81">
        <f t="shared" si="86"/>
        <v>1.0000314026877741</v>
      </c>
      <c r="AX81">
        <f t="shared" si="87"/>
        <v>7.9248805697178844E-3</v>
      </c>
      <c r="AY81" t="str">
        <f t="shared" si="53"/>
        <v>1-3,21191118884833i</v>
      </c>
      <c r="AZ81">
        <f t="shared" si="88"/>
        <v>3.3639817902374403</v>
      </c>
      <c r="BA81">
        <f t="shared" si="89"/>
        <v>-1.2689675909004172</v>
      </c>
      <c r="BB81" s="58" t="str">
        <f t="shared" si="90"/>
        <v>-1,03111760398429+3,40674702109192i</v>
      </c>
      <c r="BC81">
        <f t="shared" si="91"/>
        <v>11.027467506768636</v>
      </c>
      <c r="BD81" s="60">
        <f t="shared" si="92"/>
        <v>106.83945049273234</v>
      </c>
      <c r="BE81" s="58" t="str">
        <f t="shared" si="93"/>
        <v>-0,732585262500487+46,9744268721715i</v>
      </c>
      <c r="BF81" s="37">
        <f t="shared" si="94"/>
        <v>33.438285949117194</v>
      </c>
      <c r="BG81" s="60">
        <f t="shared" si="95"/>
        <v>90.893478516643569</v>
      </c>
      <c r="BH81" s="58" t="str">
        <f t="shared" si="96"/>
        <v>-11,6347779470893+73,1839316185218i</v>
      </c>
      <c r="BI81" s="37">
        <f t="shared" si="97"/>
        <v>37.396716832922394</v>
      </c>
      <c r="BJ81" s="60">
        <f t="shared" si="98"/>
        <v>99.0332822648015</v>
      </c>
      <c r="BK81">
        <f t="shared" si="99"/>
        <v>33.438285949117194</v>
      </c>
      <c r="BL81" s="60">
        <f t="shared" si="100"/>
        <v>90.893478516643569</v>
      </c>
      <c r="BN81">
        <f t="shared" si="101"/>
        <v>0</v>
      </c>
      <c r="BO81">
        <f t="shared" si="102"/>
        <v>0</v>
      </c>
    </row>
    <row r="82" spans="2:67" x14ac:dyDescent="0.25">
      <c r="M82" s="66">
        <v>64</v>
      </c>
      <c r="N82" s="36">
        <f t="shared" si="54"/>
        <v>43.651583224016633</v>
      </c>
      <c r="O82" s="91" t="str">
        <f t="shared" si="55"/>
        <v>13,7404580152672</v>
      </c>
      <c r="P82" s="67" t="str">
        <f t="shared" si="56"/>
        <v>1+0,296212665256129i</v>
      </c>
      <c r="Q82" s="67">
        <f t="shared" si="57"/>
        <v>1.0429486770968834</v>
      </c>
      <c r="R82" s="67">
        <f t="shared" si="58"/>
        <v>0.28797856380093573</v>
      </c>
      <c r="S82" s="67" t="str">
        <f t="shared" si="59"/>
        <v>1+0,00822812959044805i</v>
      </c>
      <c r="T82" s="67">
        <f t="shared" si="60"/>
        <v>1.000033850485351</v>
      </c>
      <c r="U82" s="67">
        <f t="shared" si="61"/>
        <v>8.2279439107276788E-3</v>
      </c>
      <c r="V82" t="str">
        <f t="shared" si="62"/>
        <v>1-0,00171419366467668i</v>
      </c>
      <c r="W82" s="67">
        <f t="shared" si="63"/>
        <v>1.0000014692288808</v>
      </c>
      <c r="X82" s="67">
        <f t="shared" si="64"/>
        <v>-1.7141919856498472E-3</v>
      </c>
      <c r="Y82" t="str">
        <f t="shared" si="65"/>
        <v>0,999999878050514+0,00297440952625017i</v>
      </c>
      <c r="Z82" s="67">
        <f t="shared" si="66"/>
        <v>1.0000043015972846</v>
      </c>
      <c r="AA82" s="67">
        <f t="shared" si="67"/>
        <v>2.9744011173765128E-3</v>
      </c>
      <c r="AB82" s="92" t="str">
        <f t="shared" si="68"/>
        <v>12,6456501556917-3,69716802840044i</v>
      </c>
      <c r="AC82" s="37">
        <f t="shared" si="69"/>
        <v>22.395034852560613</v>
      </c>
      <c r="AD82" s="60">
        <f t="shared" si="70"/>
        <v>-16.297166432535089</v>
      </c>
      <c r="AE82" t="str">
        <f t="shared" si="71"/>
        <v>21,0353732052265</v>
      </c>
      <c r="AF82" t="str">
        <f t="shared" si="72"/>
        <v>1+0,148106332628065i</v>
      </c>
      <c r="AG82">
        <f t="shared" si="73"/>
        <v>1.0109082479456457</v>
      </c>
      <c r="AH82">
        <f t="shared" si="74"/>
        <v>0.14703743767174327</v>
      </c>
      <c r="AI82" t="str">
        <f t="shared" si="50"/>
        <v>1+0,00822812959044805i</v>
      </c>
      <c r="AJ82">
        <f t="shared" si="75"/>
        <v>1.000033850485351</v>
      </c>
      <c r="AK82">
        <f t="shared" si="76"/>
        <v>8.2279439107276788E-3</v>
      </c>
      <c r="AL82" t="str">
        <f t="shared" si="77"/>
        <v>1-0,000559853306502589i</v>
      </c>
      <c r="AM82">
        <f t="shared" si="78"/>
        <v>1.00000015671785</v>
      </c>
      <c r="AN82">
        <f t="shared" si="79"/>
        <v>-5.5985324800992436E-4</v>
      </c>
      <c r="AO82" s="58" t="str">
        <f t="shared" si="80"/>
        <v>20,6073286414757-2,89077081687667i</v>
      </c>
      <c r="AP82">
        <f t="shared" si="81"/>
        <v>26.365065010637529</v>
      </c>
      <c r="AQ82" s="60">
        <f t="shared" si="82"/>
        <v>-7.9852753771113845</v>
      </c>
      <c r="AR82" t="str">
        <f t="shared" si="83"/>
        <v>-1,05811623246493</v>
      </c>
      <c r="AS82" t="str">
        <f t="shared" si="51"/>
        <v>1+0,00810964452434559i</v>
      </c>
      <c r="AT82">
        <f t="shared" si="84"/>
        <v>1.0000328826265221</v>
      </c>
      <c r="AU82">
        <f t="shared" si="85"/>
        <v>8.1094667508294672E-3</v>
      </c>
      <c r="AV82" t="str">
        <f t="shared" si="52"/>
        <v>1+0,00810964452434559i</v>
      </c>
      <c r="AW82">
        <f t="shared" si="86"/>
        <v>1.0000328826265221</v>
      </c>
      <c r="AX82">
        <f t="shared" si="87"/>
        <v>8.1094667508294672E-3</v>
      </c>
      <c r="AY82" t="str">
        <f t="shared" si="53"/>
        <v>1-3,13879916414703i</v>
      </c>
      <c r="AZ82">
        <f t="shared" si="88"/>
        <v>3.2942465288514899</v>
      </c>
      <c r="BA82">
        <f t="shared" si="89"/>
        <v>-1.2623700479154227</v>
      </c>
      <c r="BB82" s="58" t="str">
        <f t="shared" si="90"/>
        <v>-1,03111455210511+3,32957631851278i</v>
      </c>
      <c r="BC82">
        <f t="shared" si="91"/>
        <v>10.845503867904744</v>
      </c>
      <c r="BD82" s="60">
        <f t="shared" si="92"/>
        <v>107.20688585179454</v>
      </c>
      <c r="BE82" s="58" t="str">
        <f t="shared" si="93"/>
        <v>-0,729110783439271+45,91686104625i</v>
      </c>
      <c r="BF82" s="37">
        <f t="shared" si="94"/>
        <v>33.240538720465359</v>
      </c>
      <c r="BG82" s="60">
        <f t="shared" si="95"/>
        <v>90.909719419259446</v>
      </c>
      <c r="BH82" s="58" t="str">
        <f t="shared" si="96"/>
        <v>-11,6234743881176+71,5943892885499i</v>
      </c>
      <c r="BI82" s="37">
        <f t="shared" si="97"/>
        <v>37.210568878542276</v>
      </c>
      <c r="BJ82" s="60">
        <f t="shared" si="98"/>
        <v>99.221610474683146</v>
      </c>
      <c r="BK82">
        <f t="shared" si="99"/>
        <v>33.240538720465359</v>
      </c>
      <c r="BL82" s="60">
        <f t="shared" si="100"/>
        <v>90.909719419259446</v>
      </c>
      <c r="BN82">
        <f t="shared" si="101"/>
        <v>0</v>
      </c>
      <c r="BO82">
        <f t="shared" si="102"/>
        <v>0</v>
      </c>
    </row>
    <row r="83" spans="2:67" x14ac:dyDescent="0.25">
      <c r="M83" s="66">
        <v>65</v>
      </c>
      <c r="N83" s="36">
        <f t="shared" si="54"/>
        <v>44.668359215096324</v>
      </c>
      <c r="O83" s="91" t="str">
        <f t="shared" ref="O83:O146" si="103">COMPLEX(adc,0)</f>
        <v>13,7404580152672</v>
      </c>
      <c r="P83" s="67" t="str">
        <f t="shared" ref="P83:P146" si="104">IMSUM(COMPLEX(1,0),IMDIV(COMPLEX(0,2*PI()*N83),COMPLEX(wp_lf,0)))</f>
        <v>1+0,303112344581402i</v>
      </c>
      <c r="Q83" s="67">
        <f t="shared" si="57"/>
        <v>1.0449292289134391</v>
      </c>
      <c r="R83" s="67">
        <f t="shared" si="58"/>
        <v>0.29430970490485098</v>
      </c>
      <c r="S83" s="67" t="str">
        <f t="shared" ref="S83:S146" si="105">IMSUM(COMPLEX(1,0),IMDIV(COMPLEX(0,2*PI()*N83),COMPLEX(wz_esr,0)))</f>
        <v>1+0,0084197873494834i</v>
      </c>
      <c r="T83" s="67">
        <f t="shared" si="60"/>
        <v>1.0000354457813037</v>
      </c>
      <c r="U83" s="67">
        <f t="shared" si="61"/>
        <v>8.4195883904593007E-3</v>
      </c>
      <c r="V83" t="str">
        <f t="shared" ref="V83:V146" si="106">IMSUB(COMPLEX(1,0),IMDIV(COMPLEX(0,2*PI()*N83),COMPLEX(wz_rhp,0)))</f>
        <v>1-0,00175412236447571i</v>
      </c>
      <c r="W83" s="67">
        <f t="shared" si="63"/>
        <v>1.0000015384714513</v>
      </c>
      <c r="X83" s="67">
        <f t="shared" si="64"/>
        <v>-1.7541205653661943E-3</v>
      </c>
      <c r="Y83" t="str">
        <f t="shared" ref="Y83:Y146" si="107">IMSUM(COMPLEX(1,0),IMDIV(COMPLEX(0,2*PI()*N83),COMPLEX(Q*(wsl/2),0)),IMDIV(IMPOWER(COMPLEX(0,2*PI()*N83),2),IMPOWER(COMPLEX(wsl/2,0),2)))</f>
        <v>0,999999872303212+0,00304369242438492i</v>
      </c>
      <c r="Z83" s="67">
        <f t="shared" si="66"/>
        <v>1.0000045043248627</v>
      </c>
      <c r="AA83" s="67">
        <f t="shared" si="67"/>
        <v>3.0436834141166521E-3</v>
      </c>
      <c r="AB83" s="92" t="str">
        <f t="shared" si="68"/>
        <v>12,5983950937672-3,76896259063762i</v>
      </c>
      <c r="AC83" s="37">
        <f t="shared" si="69"/>
        <v>22.378568750708151</v>
      </c>
      <c r="AD83" s="60">
        <f t="shared" si="70"/>
        <v>-16.655190999733438</v>
      </c>
      <c r="AE83" t="str">
        <f t="shared" si="71"/>
        <v>21,0353732052265</v>
      </c>
      <c r="AF83" t="str">
        <f t="shared" ref="AF83:AF146" si="108">IMSUM(COMPLEX(1,0),IMDIV(COMPLEX(0,2*PI()*N83),COMPLEX(wp_lf_DCM,0)))</f>
        <v>1+0,151556172290701i</v>
      </c>
      <c r="AG83">
        <f t="shared" si="73"/>
        <v>1.0114194349326142</v>
      </c>
      <c r="AH83">
        <f t="shared" si="74"/>
        <v>0.15041152796506613</v>
      </c>
      <c r="AI83" t="str">
        <f t="shared" ref="AI83:AI146" si="109">IMSUM(COMPLEX(1,0),IMDIV(COMPLEX(0,2*PI()*N83),COMPLEX(wz1_dcm,0)))</f>
        <v>1+0,0084197873494834i</v>
      </c>
      <c r="AJ83">
        <f t="shared" si="75"/>
        <v>1.0000354457813037</v>
      </c>
      <c r="AK83">
        <f t="shared" si="76"/>
        <v>8.4195883904593007E-3</v>
      </c>
      <c r="AL83" t="str">
        <f t="shared" ref="AL83:AL146" si="110">IMSUB(COMPLEX(1,0),IMDIV(COMPLEX(0,2*PI()*N83),COMPLEX(wz2_dcm,0)))</f>
        <v>1-0,000572893965249309i</v>
      </c>
      <c r="AM83">
        <f t="shared" si="78"/>
        <v>1.0000001641037342</v>
      </c>
      <c r="AN83">
        <f t="shared" si="79"/>
        <v>-5.7289390257329019E-4</v>
      </c>
      <c r="AO83" s="58" t="str">
        <f t="shared" si="80"/>
        <v>20,5876084804542-2,95511680707823i</v>
      </c>
      <c r="AP83">
        <f t="shared" si="81"/>
        <v>26.36068783848636</v>
      </c>
      <c r="AQ83" s="60">
        <f t="shared" si="82"/>
        <v>-8.168363265227816</v>
      </c>
      <c r="AR83" t="str">
        <f t="shared" ref="AR83:AR146" si="111">COMPLEX(adc_ea,0)</f>
        <v>-1,05811623246493</v>
      </c>
      <c r="AS83" t="str">
        <f t="shared" ref="AS83:AS146" si="112">IMSUM(COMPLEX(1,0), IMDIV(COMPLEX(0,2*PI()*N83), COMPLEX(wp0_ea,0)))</f>
        <v>1+0,00829854241165083i</v>
      </c>
      <c r="AT83">
        <f t="shared" si="84"/>
        <v>1.000034432310287</v>
      </c>
      <c r="AU83">
        <f t="shared" si="85"/>
        <v>8.2983519242505709E-3</v>
      </c>
      <c r="AV83" t="str">
        <f t="shared" ref="AV83:AV146" si="113">IMSUM(COMPLEX(1,0),IMDIV(COMPLEX(0,2*PI()*N83),COMPLEX(wp1_ea,0)))</f>
        <v>1+0,00829854241165083i</v>
      </c>
      <c r="AW83">
        <f t="shared" si="86"/>
        <v>1.000034432310287</v>
      </c>
      <c r="AX83">
        <f t="shared" si="87"/>
        <v>8.2983519242505709E-3</v>
      </c>
      <c r="AY83" t="str">
        <f t="shared" ref="AY83:AY146" si="114">IMSUM(COMPLEX(1,0),IMDIV(COMPLEX(wz_ea,0),COMPLEX(0,2*PI()*N83)))</f>
        <v>1-3,06735137230946i</v>
      </c>
      <c r="AZ83">
        <f t="shared" si="88"/>
        <v>3.2262430846433023</v>
      </c>
      <c r="BA83">
        <f t="shared" si="89"/>
        <v>-1.2556474227231442</v>
      </c>
      <c r="BB83" s="58" t="str">
        <f t="shared" si="90"/>
        <v>-1,03111135641466+3,25417099903656i</v>
      </c>
      <c r="BC83">
        <f t="shared" si="91"/>
        <v>10.664310201220854</v>
      </c>
      <c r="BD83" s="60">
        <f t="shared" si="92"/>
        <v>107.58124157931081</v>
      </c>
      <c r="BE83" s="58" t="str">
        <f t="shared" si="93"/>
        <v>-0,72549949487545+44,8835520776502i</v>
      </c>
      <c r="BF83" s="37">
        <f t="shared" si="94"/>
        <v>33.042878951929012</v>
      </c>
      <c r="BG83" s="60">
        <f t="shared" si="95"/>
        <v>90.926050579577378</v>
      </c>
      <c r="BH83" s="58" t="str">
        <f t="shared" si="96"/>
        <v>-11,6116614932556+70,0426529559234i</v>
      </c>
      <c r="BI83" s="37">
        <f t="shared" si="97"/>
        <v>37.024998039707214</v>
      </c>
      <c r="BJ83" s="60">
        <f t="shared" si="98"/>
        <v>99.412878314083017</v>
      </c>
      <c r="BK83">
        <f t="shared" si="99"/>
        <v>33.042878951929012</v>
      </c>
      <c r="BL83" s="60">
        <f t="shared" si="100"/>
        <v>90.926050579577378</v>
      </c>
      <c r="BN83">
        <f t="shared" si="101"/>
        <v>0</v>
      </c>
      <c r="BO83">
        <f t="shared" si="102"/>
        <v>0</v>
      </c>
    </row>
    <row r="84" spans="2:67" x14ac:dyDescent="0.25">
      <c r="M84" s="66">
        <v>66</v>
      </c>
      <c r="N84" s="36">
        <f t="shared" ref="N84:N118" si="115">10^(1+(M84/100))</f>
        <v>45.70881896148753</v>
      </c>
      <c r="O84" s="91" t="str">
        <f t="shared" si="103"/>
        <v>13,7404580152672</v>
      </c>
      <c r="P84" s="67" t="str">
        <f t="shared" si="104"/>
        <v>1+0,310172738083938i</v>
      </c>
      <c r="Q84" s="67">
        <f t="shared" ref="Q84:Q147" si="116">IMABS(P84)</f>
        <v>1.0469991057543875</v>
      </c>
      <c r="R84" s="67">
        <f t="shared" ref="R84:R147" si="117">IMARGUMENT(P84)</f>
        <v>0.30076325570427309</v>
      </c>
      <c r="S84" s="67" t="str">
        <f t="shared" si="105"/>
        <v>1+0,00861590939122051i</v>
      </c>
      <c r="T84" s="67">
        <f t="shared" ref="T84:T147" si="118">IMABS(S84)</f>
        <v>1.0000371162585107</v>
      </c>
      <c r="U84" s="67">
        <f t="shared" ref="U84:U147" si="119">IMARGUMENT(S84)</f>
        <v>8.6156962032125778E-3</v>
      </c>
      <c r="V84" t="str">
        <f t="shared" si="106"/>
        <v>1-0,00179498112317094i</v>
      </c>
      <c r="W84" s="67">
        <f t="shared" ref="W84:W147" si="120">IMABS(V84)</f>
        <v>1.0000016109773187</v>
      </c>
      <c r="X84" s="67">
        <f t="shared" ref="X84:X147" si="121">IMARGUMENT(V84)</f>
        <v>-1.7949791953905294E-3</v>
      </c>
      <c r="Y84" t="str">
        <f t="shared" si="107"/>
        <v>0,999999866285048+0,00311458912853111i</v>
      </c>
      <c r="Z84" s="67">
        <f t="shared" ref="Z84:Z147" si="122">IMABS(Y84)</f>
        <v>1.0000047166066535</v>
      </c>
      <c r="AA84" s="67">
        <f t="shared" ref="AA84:AA147" si="123">IMARGUMENT(Y84)</f>
        <v>3.1145794738571737E-3</v>
      </c>
      <c r="AB84" s="92" t="str">
        <f t="shared" ref="AB84:AB147" si="124">(IMDIV(IMPRODUCT(O84,S84,V84),IMPRODUCT(P84,Y84)))</f>
        <v>12,5492950813649-3,84152357385423i</v>
      </c>
      <c r="AC84" s="37">
        <f t="shared" ref="AC84:AC147" si="125">20*LOG(IMABS(AB84))</f>
        <v>22.361393380693826</v>
      </c>
      <c r="AD84" s="60">
        <f t="shared" ref="AD84:AD147" si="126">(180/PI())*IMARGUMENT(AB84)</f>
        <v>-17.02011914547753</v>
      </c>
      <c r="AE84" t="str">
        <f t="shared" ref="AE84:AE147" si="127">COMPLEX($B$67,0)</f>
        <v>21,0353732052265</v>
      </c>
      <c r="AF84" t="str">
        <f t="shared" si="108"/>
        <v>1+0,155086369041969i</v>
      </c>
      <c r="AG84">
        <f t="shared" ref="AG84:AG147" si="128">IMABS(AF84)</f>
        <v>1.0119544366534601</v>
      </c>
      <c r="AH84">
        <f t="shared" ref="AH84:AH147" si="129">IMARGUMENT(AF84)</f>
        <v>0.15386064172509986</v>
      </c>
      <c r="AI84" t="str">
        <f t="shared" si="109"/>
        <v>1+0,00861590939122051i</v>
      </c>
      <c r="AJ84">
        <f t="shared" ref="AJ84:AJ147" si="130">IMABS(AI84)</f>
        <v>1.0000371162585107</v>
      </c>
      <c r="AK84">
        <f t="shared" ref="AK84:AK147" si="131">IMARGUMENT(AI84)</f>
        <v>8.6156962032125778E-3</v>
      </c>
      <c r="AL84" t="str">
        <f t="shared" si="110"/>
        <v>1-0,000586238379959552i</v>
      </c>
      <c r="AM84">
        <f t="shared" ref="AM84:AM147" si="132">IMABS(AL84)</f>
        <v>1.0000001718377043</v>
      </c>
      <c r="AN84">
        <f t="shared" ref="AN84:AN147" si="133">IMARGUMENT(AL84)</f>
        <v>-5.8623831280098845E-4</v>
      </c>
      <c r="AO84" s="58" t="str">
        <f t="shared" ref="AO84:AO147" si="134">(IMDIV(IMPRODUCT(AE84,AI84,AL84),IMPRODUCT(AF84)))</f>
        <v>20,5670016110354-3,02075447549875i</v>
      </c>
      <c r="AP84">
        <f t="shared" ref="AP84:AP147" si="135">20*LOG(IMABS(AO84))</f>
        <v>26.356109130127358</v>
      </c>
      <c r="AQ84" s="60">
        <f t="shared" ref="AQ84:AQ147" si="136">(180/PI())*IMARGUMENT(AO84)</f>
        <v>-8.35551135512409</v>
      </c>
      <c r="AR84" t="str">
        <f t="shared" si="111"/>
        <v>-1,05811623246493</v>
      </c>
      <c r="AS84" t="str">
        <f t="shared" si="112"/>
        <v>1+0,00849184029598693i</v>
      </c>
      <c r="AT84">
        <f t="shared" ref="AT84:AT147" si="137">IMABS(AS84)</f>
        <v>1.0000360550258238</v>
      </c>
      <c r="AU84">
        <f t="shared" ref="AU84:AU147" si="138">IMARGUMENT(AS84)</f>
        <v>8.4916361854575958E-3</v>
      </c>
      <c r="AV84" t="str">
        <f t="shared" si="113"/>
        <v>1+0,00849184029598693i</v>
      </c>
      <c r="AW84">
        <f t="shared" ref="AW84:AW147" si="139">IMABS(AV84)</f>
        <v>1.0000360550258238</v>
      </c>
      <c r="AX84">
        <f t="shared" ref="AX84:AX147" si="140">IMARGUMENT(AV84)</f>
        <v>8.4916361854575958E-3</v>
      </c>
      <c r="AY84" t="str">
        <f t="shared" si="114"/>
        <v>1-2,99752993077069i</v>
      </c>
      <c r="AZ84">
        <f t="shared" ref="AZ84:AZ147" si="141">IMABS(AY84)</f>
        <v>3.159934443286148</v>
      </c>
      <c r="BA84">
        <f t="shared" ref="BA84:BA147" si="142">IMARGUMENT(AY84)</f>
        <v>-1.2487985823073633</v>
      </c>
      <c r="BB84" s="58" t="str">
        <f t="shared" ref="BB84:BB147" si="143">IMDIV(IMPRODUCT(AR84,AY84), AS84)</f>
        <v>-1,03110801013719+3,18049108159794i</v>
      </c>
      <c r="BC84">
        <f t="shared" ref="BC84:BC147" si="144">20*LOG(IMABS(BB84))</f>
        <v>10.483915828687312</v>
      </c>
      <c r="BD84" s="60">
        <f t="shared" ref="BD84:BD147" si="145">(180/PI())*IMARGUMENT(BB84)</f>
        <v>107.96257685728025</v>
      </c>
      <c r="BE84" s="58" t="str">
        <f t="shared" ref="BE84:BE147" si="146">IMPRODUCT(AB84,BB84)</f>
        <v>-0,721747213578961+43,8739468147539i</v>
      </c>
      <c r="BF84" s="37">
        <f t="shared" ref="BF84:BF147" si="147">20*LOG(IMABS(BE84))</f>
        <v>32.845309209381142</v>
      </c>
      <c r="BG84" s="60">
        <f t="shared" ref="BG84:BG147" si="148">(180/PI())*IMARGUMENT(BE84)</f>
        <v>90.942457711802732</v>
      </c>
      <c r="BH84" s="58" t="str">
        <f t="shared" ref="BH84:BH147" si="149">IMPRODUCT(AO84,BB84)</f>
        <v>-11,5993174366223+68,5278893354531i</v>
      </c>
      <c r="BI84" s="37">
        <f t="shared" ref="BI84:BI147" si="150">20*LOG(IMABS(BH84))</f>
        <v>36.840024958814674</v>
      </c>
      <c r="BJ84" s="60">
        <f t="shared" ref="BJ84:BJ147" si="151">(180/PI())*IMARGUMENT(BH84)</f>
        <v>99.607065502156217</v>
      </c>
      <c r="BK84">
        <f t="shared" ref="BK84:BK147" si="152">IF($B$19=0,BF84,BI84)</f>
        <v>32.845309209381142</v>
      </c>
      <c r="BL84" s="60">
        <f t="shared" ref="BL84:BL147" si="153">IF($B$19=0,BG84,BJ84)</f>
        <v>90.942457711802732</v>
      </c>
      <c r="BN84">
        <f t="shared" si="101"/>
        <v>0</v>
      </c>
      <c r="BO84">
        <f t="shared" si="102"/>
        <v>0</v>
      </c>
    </row>
    <row r="85" spans="2:67" x14ac:dyDescent="0.25">
      <c r="M85" s="66">
        <v>67</v>
      </c>
      <c r="N85" s="36">
        <f t="shared" si="115"/>
        <v>46.773514128719818</v>
      </c>
      <c r="O85" s="91" t="str">
        <f t="shared" si="103"/>
        <v>13,7404580152672</v>
      </c>
      <c r="P85" s="67" t="str">
        <f t="shared" si="104"/>
        <v>1+0,317397589277827i</v>
      </c>
      <c r="Q85" s="67">
        <f t="shared" si="116"/>
        <v>1.0491621560461357</v>
      </c>
      <c r="R85" s="67">
        <f t="shared" si="117"/>
        <v>0.30734048693374355</v>
      </c>
      <c r="S85" s="67" t="str">
        <f t="shared" si="105"/>
        <v>1+0,00881659970216188i</v>
      </c>
      <c r="T85" s="67">
        <f t="shared" si="118"/>
        <v>1.000038865459892</v>
      </c>
      <c r="U85" s="67">
        <f t="shared" si="119"/>
        <v>8.8163712675752171E-3</v>
      </c>
      <c r="V85" t="str">
        <f t="shared" si="106"/>
        <v>1-0,00183679160461706i</v>
      </c>
      <c r="W85" s="67">
        <f t="shared" si="120"/>
        <v>1.0000016869002766</v>
      </c>
      <c r="X85" s="67">
        <f t="shared" si="121"/>
        <v>-1.8367895389633218E-3</v>
      </c>
      <c r="Y85" t="str">
        <f t="shared" si="107"/>
        <v>0,999999859983256+0,0031871372290597i</v>
      </c>
      <c r="Z85" s="67">
        <f t="shared" si="122"/>
        <v>1.000004938892928</v>
      </c>
      <c r="AA85" s="67">
        <f t="shared" si="123"/>
        <v>3.1871268838929516E-3</v>
      </c>
      <c r="AB85" s="92" t="str">
        <f t="shared" si="124"/>
        <v>12,498295086176-3,9148169329705i</v>
      </c>
      <c r="AC85" s="37">
        <f t="shared" si="125"/>
        <v>22.343481178740458</v>
      </c>
      <c r="AD85" s="60">
        <f t="shared" si="126"/>
        <v>-17.392021118202774</v>
      </c>
      <c r="AE85" t="str">
        <f t="shared" si="127"/>
        <v>21,0353732052265</v>
      </c>
      <c r="AF85" t="str">
        <f t="shared" si="108"/>
        <v>1+0,158698794638914i</v>
      </c>
      <c r="AG85">
        <f t="shared" si="128"/>
        <v>1.0125143492414537</v>
      </c>
      <c r="AH85">
        <f t="shared" si="129"/>
        <v>0.15738627929267116</v>
      </c>
      <c r="AI85" t="str">
        <f t="shared" si="109"/>
        <v>1+0,00881659970216188i</v>
      </c>
      <c r="AJ85">
        <f t="shared" si="130"/>
        <v>1.000038865459892</v>
      </c>
      <c r="AK85">
        <f t="shared" si="131"/>
        <v>8.8163712675752171E-3</v>
      </c>
      <c r="AL85" t="str">
        <f t="shared" si="110"/>
        <v>1-0,000599893626018631i</v>
      </c>
      <c r="AM85">
        <f t="shared" si="132"/>
        <v>1.0000001799361651</v>
      </c>
      <c r="AN85">
        <f t="shared" si="133"/>
        <v>-5.9989355405693444E-4</v>
      </c>
      <c r="AO85" s="58" t="str">
        <f t="shared" si="134"/>
        <v>20,5454702127382-3,08769987922193i</v>
      </c>
      <c r="AP85">
        <f t="shared" si="135"/>
        <v>26.351319835045544</v>
      </c>
      <c r="AQ85" s="60">
        <f t="shared" si="136"/>
        <v>-8.5468000612893587</v>
      </c>
      <c r="AR85" t="str">
        <f t="shared" si="111"/>
        <v>-1,05811623246493</v>
      </c>
      <c r="AS85" t="str">
        <f t="shared" si="112"/>
        <v>1+0,00868964066645074i</v>
      </c>
      <c r="AT85">
        <f t="shared" si="137"/>
        <v>1.0000377542147656</v>
      </c>
      <c r="AU85">
        <f t="shared" si="138"/>
        <v>8.6894219585240962E-3</v>
      </c>
      <c r="AV85" t="str">
        <f t="shared" si="113"/>
        <v>1+0,00868964066645074i</v>
      </c>
      <c r="AW85">
        <f t="shared" si="139"/>
        <v>1.0000377542147656</v>
      </c>
      <c r="AX85">
        <f t="shared" si="140"/>
        <v>8.6894219585240962E-3</v>
      </c>
      <c r="AY85" t="str">
        <f t="shared" si="114"/>
        <v>1-2,92929781927821i</v>
      </c>
      <c r="AZ85">
        <f t="shared" si="141"/>
        <v>3.0952844318459776</v>
      </c>
      <c r="BA85">
        <f t="shared" si="142"/>
        <v>-1.2418224662429329</v>
      </c>
      <c r="BB85" s="58" t="str">
        <f t="shared" si="143"/>
        <v>-1,0311045061778+3,10849749995064i</v>
      </c>
      <c r="BC85">
        <f t="shared" si="144"/>
        <v>10.304350882936763</v>
      </c>
      <c r="BD85" s="60">
        <f t="shared" si="145"/>
        <v>108.35094657512109</v>
      </c>
      <c r="BE85" s="58" t="str">
        <f t="shared" si="146"/>
        <v>-0,717849733992697+42,8875044094705i</v>
      </c>
      <c r="BF85" s="37">
        <f t="shared" si="147"/>
        <v>32.647832061677221</v>
      </c>
      <c r="BG85" s="60">
        <f t="shared" si="148"/>
        <v>90.958925456918308</v>
      </c>
      <c r="BH85" s="58" t="str">
        <f t="shared" si="149"/>
        <v>-11,5864195627369+67,0492840507974i</v>
      </c>
      <c r="BI85" s="37">
        <f t="shared" si="150"/>
        <v>36.655670717982311</v>
      </c>
      <c r="BJ85" s="60">
        <f t="shared" si="151"/>
        <v>99.804146513831753</v>
      </c>
      <c r="BK85">
        <f t="shared" si="152"/>
        <v>32.647832061677221</v>
      </c>
      <c r="BL85" s="60">
        <f t="shared" si="153"/>
        <v>90.958925456918308</v>
      </c>
      <c r="BN85">
        <f t="shared" ref="BN85:BN148" si="154">SUM((BK86&lt;0)*(BK85&gt;0))*N85</f>
        <v>0</v>
      </c>
      <c r="BO85">
        <f t="shared" ref="BO85:BO148" si="155">IF(BN85&gt;0,BL85,0)</f>
        <v>0</v>
      </c>
    </row>
    <row r="86" spans="2:67" x14ac:dyDescent="0.25">
      <c r="M86" s="66">
        <v>68</v>
      </c>
      <c r="N86" s="36">
        <f t="shared" si="115"/>
        <v>47.863009232263877</v>
      </c>
      <c r="O86" s="91" t="str">
        <f t="shared" si="103"/>
        <v>13,7404580152672</v>
      </c>
      <c r="P86" s="67" t="str">
        <f t="shared" si="104"/>
        <v>1+0,324790728874806i</v>
      </c>
      <c r="Q86" s="67">
        <f t="shared" si="116"/>
        <v>1.0514223782871599</v>
      </c>
      <c r="R86" s="67">
        <f t="shared" si="117"/>
        <v>0.31404260886666774</v>
      </c>
      <c r="S86" s="67" t="str">
        <f t="shared" si="105"/>
        <v>1+0,00902196469096684i</v>
      </c>
      <c r="T86" s="67">
        <f t="shared" si="118"/>
        <v>1.0000406970953157</v>
      </c>
      <c r="U86" s="67">
        <f t="shared" si="119"/>
        <v>9.0217199194352303E-3</v>
      </c>
      <c r="V86" t="str">
        <f t="shared" si="106"/>
        <v>1-0,00187957597728476i</v>
      </c>
      <c r="W86" s="67">
        <f t="shared" si="120"/>
        <v>1.000001766401367</v>
      </c>
      <c r="X86" s="67">
        <f t="shared" si="121"/>
        <v>-1.8795737638971129E-3</v>
      </c>
      <c r="Y86" t="str">
        <f t="shared" si="107"/>
        <v>0,99999985338447+0,00326137519193389i</v>
      </c>
      <c r="Z86" s="67">
        <f t="shared" si="122"/>
        <v>1.000005171655179</v>
      </c>
      <c r="AA86" s="67">
        <f t="shared" si="123"/>
        <v>3.2613641068910998E-3</v>
      </c>
      <c r="AB86" s="92" t="str">
        <f t="shared" si="124"/>
        <v>12,4453399197891-3,98880544615542i</v>
      </c>
      <c r="AC86" s="37">
        <f t="shared" si="125"/>
        <v>22.324803770132455</v>
      </c>
      <c r="AD86" s="60">
        <f t="shared" si="126"/>
        <v>-17.770963642740131</v>
      </c>
      <c r="AE86" t="str">
        <f t="shared" si="127"/>
        <v>21,0353732052265</v>
      </c>
      <c r="AF86" t="str">
        <f t="shared" si="108"/>
        <v>1+0,162395364437403i</v>
      </c>
      <c r="AG86">
        <f t="shared" si="128"/>
        <v>1.013100318029146</v>
      </c>
      <c r="AH86">
        <f t="shared" si="129"/>
        <v>0.16098995923508558</v>
      </c>
      <c r="AI86" t="str">
        <f t="shared" si="109"/>
        <v>1+0,00902196469096684i</v>
      </c>
      <c r="AJ86">
        <f t="shared" si="130"/>
        <v>1.0000406970953157</v>
      </c>
      <c r="AK86">
        <f t="shared" si="131"/>
        <v>9.0217199194352303E-3</v>
      </c>
      <c r="AL86" t="str">
        <f t="shared" si="110"/>
        <v>1-0,000613866943618757i</v>
      </c>
      <c r="AM86">
        <f t="shared" si="132"/>
        <v>1.0000001884162946</v>
      </c>
      <c r="AN86">
        <f t="shared" si="133"/>
        <v>-6.1386686651041065E-4</v>
      </c>
      <c r="AO86" s="58" t="str">
        <f t="shared" si="134"/>
        <v>20,5229750443205-3,15596853760066i</v>
      </c>
      <c r="AP86">
        <f t="shared" si="135"/>
        <v>26.346310517779592</v>
      </c>
      <c r="AQ86" s="60">
        <f t="shared" si="136"/>
        <v>-8.7423107134547902</v>
      </c>
      <c r="AR86" t="str">
        <f t="shared" si="111"/>
        <v>-1,05811623246493</v>
      </c>
      <c r="AS86" t="str">
        <f t="shared" si="112"/>
        <v>1+0,00889204839941691i</v>
      </c>
      <c r="AT86">
        <f t="shared" si="137"/>
        <v>1.0000395334809207</v>
      </c>
      <c r="AU86">
        <f t="shared" si="138"/>
        <v>8.891814050151655E-3</v>
      </c>
      <c r="AV86" t="str">
        <f t="shared" si="113"/>
        <v>1+0,00889204839941691i</v>
      </c>
      <c r="AW86">
        <f t="shared" si="139"/>
        <v>1.0000395334809207</v>
      </c>
      <c r="AX86">
        <f t="shared" si="140"/>
        <v>8.891814050151655E-3</v>
      </c>
      <c r="AY86" t="str">
        <f t="shared" si="114"/>
        <v>1-2,86261886026336i</v>
      </c>
      <c r="AZ86">
        <f t="shared" si="141"/>
        <v>3.0322576966899595</v>
      </c>
      <c r="BA86">
        <f t="shared" si="142"/>
        <v>-1.2347180926080201</v>
      </c>
      <c r="BB86" s="58" t="str">
        <f t="shared" si="143"/>
        <v>-1,03110083710741+3,03815208195316i</v>
      </c>
      <c r="BC86">
        <f t="shared" si="144"/>
        <v>10.1256463032156</v>
      </c>
      <c r="BD86" s="60">
        <f t="shared" si="145"/>
        <v>108.74640098782842</v>
      </c>
      <c r="BE86" s="58" t="str">
        <f t="shared" si="146"/>
        <v>-0,713802838637616+41,9236960225115i</v>
      </c>
      <c r="BF86" s="37">
        <f t="shared" si="147"/>
        <v>32.450450073348058</v>
      </c>
      <c r="BG86" s="60">
        <f t="shared" si="148"/>
        <v>90.975437345088281</v>
      </c>
      <c r="BH86" s="58" t="str">
        <f t="shared" si="149"/>
        <v>-11,5729443650432+65,6060411597798i</v>
      </c>
      <c r="BI86" s="37">
        <f t="shared" si="150"/>
        <v>36.471956820995203</v>
      </c>
      <c r="BJ86" s="60">
        <f t="shared" si="151"/>
        <v>100.0040902743736</v>
      </c>
      <c r="BK86">
        <f t="shared" si="152"/>
        <v>32.450450073348058</v>
      </c>
      <c r="BL86" s="60">
        <f t="shared" si="153"/>
        <v>90.975437345088281</v>
      </c>
      <c r="BN86">
        <f t="shared" si="154"/>
        <v>0</v>
      </c>
      <c r="BO86">
        <f t="shared" si="155"/>
        <v>0</v>
      </c>
    </row>
    <row r="87" spans="2:67" x14ac:dyDescent="0.25">
      <c r="M87" s="66">
        <v>69</v>
      </c>
      <c r="N87" s="36">
        <f t="shared" si="115"/>
        <v>48.977881936844632</v>
      </c>
      <c r="O87" s="91" t="str">
        <f t="shared" si="103"/>
        <v>13,7404580152672</v>
      </c>
      <c r="P87" s="67" t="str">
        <f t="shared" si="104"/>
        <v>1+0,332356076815348i</v>
      </c>
      <c r="Q87" s="67">
        <f t="shared" si="116"/>
        <v>1.0537839255730226</v>
      </c>
      <c r="R87" s="67">
        <f t="shared" si="117"/>
        <v>0.32087076582364732</v>
      </c>
      <c r="S87" s="67" t="str">
        <f t="shared" si="105"/>
        <v>1+0,00923211324487078i</v>
      </c>
      <c r="T87" s="67">
        <f t="shared" si="118"/>
        <v>1.0000426150494617</v>
      </c>
      <c r="U87" s="67">
        <f t="shared" si="119"/>
        <v>9.2318509680529137E-3</v>
      </c>
      <c r="V87" t="str">
        <f t="shared" si="106"/>
        <v>1-0,00192335692601474i</v>
      </c>
      <c r="W87" s="67">
        <f t="shared" si="120"/>
        <v>1.0000018496492218</v>
      </c>
      <c r="X87" s="67">
        <f t="shared" si="121"/>
        <v>-1.923354554327383E-3</v>
      </c>
      <c r="Y87" t="str">
        <f t="shared" si="107"/>
        <v>0,999999846474693+0,00333734237910426i</v>
      </c>
      <c r="Z87" s="67">
        <f t="shared" si="122"/>
        <v>1.0000054153871192</v>
      </c>
      <c r="AA87" s="67">
        <f t="shared" si="123"/>
        <v>3.3373305012703836E-3</v>
      </c>
      <c r="AB87" s="92" t="str">
        <f t="shared" si="124"/>
        <v>12,3903743866078-4,06344859559483i</v>
      </c>
      <c r="AC87" s="37">
        <f t="shared" si="125"/>
        <v>22.305331968059431</v>
      </c>
      <c r="AD87" s="60">
        <f t="shared" si="126"/>
        <v>-18.157009604295673</v>
      </c>
      <c r="AE87" t="str">
        <f t="shared" si="127"/>
        <v>21,0353732052265</v>
      </c>
      <c r="AF87" t="str">
        <f t="shared" si="108"/>
        <v>1+0,166178038407674i</v>
      </c>
      <c r="AG87">
        <f t="shared" si="128"/>
        <v>1.0137135396397852</v>
      </c>
      <c r="AH87">
        <f t="shared" si="129"/>
        <v>0.1646732176866115</v>
      </c>
      <c r="AI87" t="str">
        <f t="shared" si="109"/>
        <v>1+0,00923211324487078i</v>
      </c>
      <c r="AJ87">
        <f t="shared" si="130"/>
        <v>1.0000426150494617</v>
      </c>
      <c r="AK87">
        <f t="shared" si="131"/>
        <v>9.2318509680529137E-3</v>
      </c>
      <c r="AL87" t="str">
        <f t="shared" si="110"/>
        <v>1-0,000628165741597879i</v>
      </c>
      <c r="AM87">
        <f t="shared" si="132"/>
        <v>1.0000001972960799</v>
      </c>
      <c r="AN87">
        <f t="shared" si="133"/>
        <v>-6.281656589747981E-4</v>
      </c>
      <c r="AO87" s="58" t="str">
        <f t="shared" si="134"/>
        <v>20,4994754087109-3,22557536503641i</v>
      </c>
      <c r="AP87">
        <f t="shared" si="135"/>
        <v>26.341071343564806</v>
      </c>
      <c r="AQ87" s="60">
        <f t="shared" si="136"/>
        <v>-8.9421255158130251</v>
      </c>
      <c r="AR87" t="str">
        <f t="shared" si="111"/>
        <v>-1,05811623246493</v>
      </c>
      <c r="AS87" t="str">
        <f t="shared" si="112"/>
        <v>1+0,00909917081414464i</v>
      </c>
      <c r="AT87">
        <f t="shared" si="137"/>
        <v>1.0000413965979134</v>
      </c>
      <c r="AU87">
        <f t="shared" si="138"/>
        <v>9.0989197049441521E-3</v>
      </c>
      <c r="AV87" t="str">
        <f t="shared" si="113"/>
        <v>1+0,00909917081414464i</v>
      </c>
      <c r="AW87">
        <f t="shared" si="139"/>
        <v>1.0000413965979134</v>
      </c>
      <c r="AX87">
        <f t="shared" si="140"/>
        <v>9.0989197049441521E-3</v>
      </c>
      <c r="AY87" t="str">
        <f t="shared" si="114"/>
        <v>1-2,79745769965945i</v>
      </c>
      <c r="AZ87">
        <f t="shared" si="141"/>
        <v>2.9708196817349823</v>
      </c>
      <c r="BA87">
        <f t="shared" si="142"/>
        <v>-1.22748456407596</v>
      </c>
      <c r="BB87" s="58" t="str">
        <f t="shared" si="143"/>
        <v>-1,03109699514705+2,96941752932846i</v>
      </c>
      <c r="BC87">
        <f t="shared" si="144"/>
        <v>9.9478338286100545</v>
      </c>
      <c r="BD87" s="60">
        <f t="shared" si="145"/>
        <v>109.14898536377004</v>
      </c>
      <c r="BE87" s="58" t="str">
        <f t="shared" si="146"/>
        <v>-0,709602309493876+40,9820045353879i</v>
      </c>
      <c r="BF87" s="37">
        <f t="shared" si="147"/>
        <v>32.253165796669485</v>
      </c>
      <c r="BG87" s="60">
        <f t="shared" si="148"/>
        <v>90.991975759474357</v>
      </c>
      <c r="BH87" s="58" t="str">
        <f t="shared" si="149"/>
        <v>-11,5588674649035+64,1973826871732i</v>
      </c>
      <c r="BI87" s="37">
        <f t="shared" si="150"/>
        <v>36.288905172174857</v>
      </c>
      <c r="BJ87" s="60">
        <f t="shared" si="151"/>
        <v>100.20685984795702</v>
      </c>
      <c r="BK87">
        <f t="shared" si="152"/>
        <v>32.253165796669485</v>
      </c>
      <c r="BL87" s="60">
        <f t="shared" si="153"/>
        <v>90.991975759474357</v>
      </c>
      <c r="BN87">
        <f t="shared" si="154"/>
        <v>0</v>
      </c>
      <c r="BO87">
        <f t="shared" si="155"/>
        <v>0</v>
      </c>
    </row>
    <row r="88" spans="2:67" x14ac:dyDescent="0.25">
      <c r="B88" t="s">
        <v>696</v>
      </c>
      <c r="M88" s="66">
        <v>70</v>
      </c>
      <c r="N88" s="36">
        <f t="shared" si="115"/>
        <v>50.118723362727238</v>
      </c>
      <c r="O88" s="91" t="str">
        <f t="shared" si="103"/>
        <v>13,7404580152672</v>
      </c>
      <c r="P88" s="67" t="str">
        <f t="shared" si="104"/>
        <v>1+0,340097644347069i</v>
      </c>
      <c r="Q88" s="67">
        <f t="shared" si="116"/>
        <v>1.0562511101487304</v>
      </c>
      <c r="R88" s="67">
        <f t="shared" si="117"/>
        <v>0.32782603048180453</v>
      </c>
      <c r="S88" s="67" t="str">
        <f t="shared" si="105"/>
        <v>1+0,00944715678741859i</v>
      </c>
      <c r="T88" s="67">
        <f t="shared" si="118"/>
        <v>1.0000446233900597</v>
      </c>
      <c r="U88" s="67">
        <f t="shared" si="119"/>
        <v>9.446875753422207E-3</v>
      </c>
      <c r="V88" t="str">
        <f t="shared" si="106"/>
        <v>1-0,00196815766404554i</v>
      </c>
      <c r="W88" s="67">
        <f t="shared" si="120"/>
        <v>1.0000019368204196</v>
      </c>
      <c r="X88" s="67">
        <f t="shared" si="121"/>
        <v>-1.9681551227370168E-3</v>
      </c>
      <c r="Y88" t="str">
        <f t="shared" si="107"/>
        <v>0,999999839239268+0,00341507906937896i</v>
      </c>
      <c r="Z88" s="67">
        <f t="shared" si="122"/>
        <v>1.0000056706057283</v>
      </c>
      <c r="AA88" s="67">
        <f t="shared" si="123"/>
        <v>3.4150663420545553E-3</v>
      </c>
      <c r="AB88" s="92" t="str">
        <f t="shared" si="124"/>
        <v>12,3333434459435-4,13870245230424i</v>
      </c>
      <c r="AC88" s="37">
        <f t="shared" si="125"/>
        <v>22.285035774754064</v>
      </c>
      <c r="AD88" s="60">
        <f t="shared" si="126"/>
        <v>-18.550217720995715</v>
      </c>
      <c r="AE88" t="str">
        <f t="shared" si="127"/>
        <v>21,0353732052265</v>
      </c>
      <c r="AF88" t="str">
        <f t="shared" si="108"/>
        <v>1+0,170048822173535i</v>
      </c>
      <c r="AG88">
        <f t="shared" si="128"/>
        <v>1.0143552641567977</v>
      </c>
      <c r="AH88">
        <f t="shared" si="129"/>
        <v>0.1684376076088677</v>
      </c>
      <c r="AI88" t="str">
        <f t="shared" si="109"/>
        <v>1+0,00944715678741859i</v>
      </c>
      <c r="AJ88">
        <f t="shared" si="130"/>
        <v>1.0000446233900597</v>
      </c>
      <c r="AK88">
        <f t="shared" si="131"/>
        <v>9.446875753422207E-3</v>
      </c>
      <c r="AL88" t="str">
        <f t="shared" si="110"/>
        <v>1-0,000642797601367952i</v>
      </c>
      <c r="AM88">
        <f t="shared" si="132"/>
        <v>1.0000002065943567</v>
      </c>
      <c r="AN88">
        <f t="shared" si="133"/>
        <v>-6.4279751283572687E-4</v>
      </c>
      <c r="AO88" s="58" t="str">
        <f t="shared" si="134"/>
        <v>20,4749291189472-3,29653459945214i</v>
      </c>
      <c r="AP88">
        <f t="shared" si="135"/>
        <v>26.335592063632408</v>
      </c>
      <c r="AQ88" s="60">
        <f t="shared" si="136"/>
        <v>-9.1463275015801742</v>
      </c>
      <c r="AR88" t="str">
        <f t="shared" si="111"/>
        <v>-1,05811623246493</v>
      </c>
      <c r="AS88" t="str">
        <f t="shared" si="112"/>
        <v>1+0,00931111772967976i</v>
      </c>
      <c r="AT88">
        <f t="shared" si="137"/>
        <v>1.0000433475171844</v>
      </c>
      <c r="AU88">
        <f t="shared" si="138"/>
        <v>9.3108486619536118E-3</v>
      </c>
      <c r="AV88" t="str">
        <f t="shared" si="113"/>
        <v>1+0,00931111772967976i</v>
      </c>
      <c r="AW88">
        <f t="shared" si="139"/>
        <v>1.0000433475171844</v>
      </c>
      <c r="AX88">
        <f t="shared" si="140"/>
        <v>9.3108486619536118E-3</v>
      </c>
      <c r="AY88" t="str">
        <f t="shared" si="114"/>
        <v>1-2,73377978815664i</v>
      </c>
      <c r="AZ88">
        <f t="shared" si="141"/>
        <v>2.9109366070276699</v>
      </c>
      <c r="BA88">
        <f t="shared" si="142"/>
        <v>-1.2201210741744619</v>
      </c>
      <c r="BB88" s="58" t="str">
        <f t="shared" si="143"/>
        <v>-1,03109297215137+2,90225739788703i</v>
      </c>
      <c r="BC88">
        <f t="shared" si="144"/>
        <v>9.7709459883422838</v>
      </c>
      <c r="BD88" s="60">
        <f t="shared" si="145"/>
        <v>109.55873962281986</v>
      </c>
      <c r="BE88" s="58" t="str">
        <f t="shared" si="146"/>
        <v>-0,70524394038833+40,0619242690676i</v>
      </c>
      <c r="BF88" s="37">
        <f t="shared" si="147"/>
        <v>32.055981763096355</v>
      </c>
      <c r="BG88" s="60">
        <f t="shared" si="148"/>
        <v>91.008521901824153</v>
      </c>
      <c r="BH88" s="58" t="str">
        <f t="shared" si="149"/>
        <v>-11,5441635911934+62,822548164626i</v>
      </c>
      <c r="BI88" s="37">
        <f t="shared" si="150"/>
        <v>36.106538051974688</v>
      </c>
      <c r="BJ88" s="60">
        <f t="shared" si="151"/>
        <v>100.41241212123973</v>
      </c>
      <c r="BK88">
        <f t="shared" si="152"/>
        <v>32.055981763096355</v>
      </c>
      <c r="BL88" s="60">
        <f t="shared" si="153"/>
        <v>91.008521901824153</v>
      </c>
      <c r="BN88">
        <f t="shared" si="154"/>
        <v>0</v>
      </c>
      <c r="BO88">
        <f t="shared" si="155"/>
        <v>0</v>
      </c>
    </row>
    <row r="89" spans="2:67" x14ac:dyDescent="0.25">
      <c r="M89" s="66">
        <v>71</v>
      </c>
      <c r="N89" s="36">
        <f t="shared" si="115"/>
        <v>51.28613839913649</v>
      </c>
      <c r="O89" s="91" t="str">
        <f t="shared" si="103"/>
        <v>13,7404580152672</v>
      </c>
      <c r="P89" s="67" t="str">
        <f t="shared" si="104"/>
        <v>1+0,348019536151548i</v>
      </c>
      <c r="Q89" s="67">
        <f t="shared" si="116"/>
        <v>1.0588284079789032</v>
      </c>
      <c r="R89" s="67">
        <f t="shared" si="117"/>
        <v>0.33490939799289554</v>
      </c>
      <c r="S89" s="67" t="str">
        <f t="shared" si="105"/>
        <v>1+0,009667209337543i</v>
      </c>
      <c r="T89" s="67">
        <f t="shared" si="118"/>
        <v>1.0000467263765107</v>
      </c>
      <c r="U89" s="67">
        <f t="shared" si="119"/>
        <v>9.6669082049503589E-3</v>
      </c>
      <c r="V89" t="str">
        <f t="shared" si="106"/>
        <v>1-0,00201400194532146i</v>
      </c>
      <c r="W89" s="67">
        <f t="shared" si="120"/>
        <v>1.0000020280998612</v>
      </c>
      <c r="X89" s="67">
        <f t="shared" si="121"/>
        <v>-2.0139992222606151E-3</v>
      </c>
      <c r="Y89" t="str">
        <f t="shared" si="107"/>
        <v>0,999999831662849+0,00349462647978017i</v>
      </c>
      <c r="Z89" s="67">
        <f t="shared" si="122"/>
        <v>1.0000059378523507</v>
      </c>
      <c r="AA89" s="67">
        <f t="shared" si="123"/>
        <v>3.4946128422107354E-3</v>
      </c>
      <c r="AB89" s="92" t="str">
        <f t="shared" si="124"/>
        <v>12,2741923876234-4,21451956611246i</v>
      </c>
      <c r="AC89" s="37">
        <f t="shared" si="125"/>
        <v>22.263884385120676</v>
      </c>
      <c r="AD89" s="60">
        <f t="shared" si="126"/>
        <v>-18.950642205445103</v>
      </c>
      <c r="AE89" t="str">
        <f t="shared" si="127"/>
        <v>21,0353732052265</v>
      </c>
      <c r="AF89" t="str">
        <f t="shared" si="108"/>
        <v>1+0,174009768075774i</v>
      </c>
      <c r="AG89">
        <f t="shared" si="128"/>
        <v>1.0150267973732441</v>
      </c>
      <c r="AH89">
        <f t="shared" si="129"/>
        <v>0.17228469796605278</v>
      </c>
      <c r="AI89" t="str">
        <f t="shared" si="109"/>
        <v>1+0,009667209337543i</v>
      </c>
      <c r="AJ89">
        <f t="shared" si="130"/>
        <v>1.0000467263765107</v>
      </c>
      <c r="AK89">
        <f t="shared" si="131"/>
        <v>9.6669082049503589E-3</v>
      </c>
      <c r="AL89" t="str">
        <f t="shared" si="110"/>
        <v>1-0,000657770280934703i</v>
      </c>
      <c r="AM89">
        <f t="shared" si="132"/>
        <v>1.0000002163308479</v>
      </c>
      <c r="AN89">
        <f t="shared" si="133"/>
        <v>-6.5777018607071571E-4</v>
      </c>
      <c r="AO89" s="58" t="str">
        <f t="shared" si="134"/>
        <v>20,4492924653698-3,36885972628717i</v>
      </c>
      <c r="AP89">
        <f t="shared" si="135"/>
        <v>26.329862000176789</v>
      </c>
      <c r="AQ89" s="60">
        <f t="shared" si="136"/>
        <v>-9.3550004826082809</v>
      </c>
      <c r="AR89" t="str">
        <f t="shared" si="111"/>
        <v>-1,05811623246493</v>
      </c>
      <c r="AS89" t="str">
        <f t="shared" si="112"/>
        <v>1+0,00952800152308238i</v>
      </c>
      <c r="AT89">
        <f t="shared" si="137"/>
        <v>1.0000453903763689</v>
      </c>
      <c r="AU89">
        <f t="shared" si="138"/>
        <v>9.5277132125261496E-3</v>
      </c>
      <c r="AV89" t="str">
        <f t="shared" si="113"/>
        <v>1+0,00952800152308238i</v>
      </c>
      <c r="AW89">
        <f t="shared" si="139"/>
        <v>1.0000453903763689</v>
      </c>
      <c r="AX89">
        <f t="shared" si="140"/>
        <v>9.5277132125261496E-3</v>
      </c>
      <c r="AY89" t="str">
        <f t="shared" si="114"/>
        <v>1-2,67155136288336i</v>
      </c>
      <c r="AZ89">
        <f t="shared" si="141"/>
        <v>2.8525754476479559</v>
      </c>
      <c r="BA89">
        <f t="shared" si="142"/>
        <v>-1.2126269136975476</v>
      </c>
      <c r="BB89" s="58" t="str">
        <f t="shared" si="143"/>
        <v>-1,03108875959139+2,83663607820251i</v>
      </c>
      <c r="BC89">
        <f t="shared" si="144"/>
        <v>9.5950160889287837</v>
      </c>
      <c r="BD89" s="60">
        <f t="shared" si="145"/>
        <v>109.97569796566709</v>
      </c>
      <c r="BE89" s="58" t="str">
        <f t="shared" si="146"/>
        <v>-0,700723550415699+39,1629607092277i</v>
      </c>
      <c r="BF89" s="37">
        <f t="shared" si="147"/>
        <v>31.858900474049463</v>
      </c>
      <c r="BG89" s="60">
        <f t="shared" si="148"/>
        <v>91.025055760221989</v>
      </c>
      <c r="BH89" s="58" t="str">
        <f t="shared" si="149"/>
        <v>-11,5288065606501+61,4807941773976i</v>
      </c>
      <c r="BI89" s="37">
        <f t="shared" si="150"/>
        <v>35.924878089105576</v>
      </c>
      <c r="BJ89" s="60">
        <f t="shared" si="151"/>
        <v>100.62069748305881</v>
      </c>
      <c r="BK89">
        <f t="shared" si="152"/>
        <v>31.858900474049463</v>
      </c>
      <c r="BL89" s="60">
        <f t="shared" si="153"/>
        <v>91.025055760221989</v>
      </c>
      <c r="BN89">
        <f t="shared" si="154"/>
        <v>0</v>
      </c>
      <c r="BO89">
        <f t="shared" si="155"/>
        <v>0</v>
      </c>
    </row>
    <row r="90" spans="2:67" x14ac:dyDescent="0.25">
      <c r="M90" s="66">
        <v>72</v>
      </c>
      <c r="N90" s="36">
        <f t="shared" si="115"/>
        <v>52.480746024977286</v>
      </c>
      <c r="O90" s="91" t="str">
        <f t="shared" si="103"/>
        <v>13,7404580152672</v>
      </c>
      <c r="P90" s="67" t="str">
        <f t="shared" si="104"/>
        <v>1+0,356125952520678i</v>
      </c>
      <c r="Q90" s="67">
        <f t="shared" si="116"/>
        <v>1.0615204633254887</v>
      </c>
      <c r="R90" s="67">
        <f t="shared" si="117"/>
        <v>0.3421217799199946</v>
      </c>
      <c r="S90" s="67" t="str">
        <f t="shared" si="105"/>
        <v>1+0,00989238757001884i</v>
      </c>
      <c r="T90" s="67">
        <f t="shared" si="118"/>
        <v>1.0000489284689202</v>
      </c>
      <c r="U90" s="67">
        <f t="shared" si="119"/>
        <v>9.8920649014850176E-3</v>
      </c>
      <c r="V90" t="str">
        <f t="shared" si="106"/>
        <v>1-0,00206091407708726i</v>
      </c>
      <c r="W90" s="67">
        <f t="shared" si="120"/>
        <v>1.0000021236811616</v>
      </c>
      <c r="X90" s="67">
        <f t="shared" si="121"/>
        <v>-2.0609111592753298E-3</v>
      </c>
      <c r="Y90" t="str">
        <f t="shared" si="107"/>
        <v>0,999999823729363+0,00357602678739782i</v>
      </c>
      <c r="Z90" s="67">
        <f t="shared" si="122"/>
        <v>1.0000062176938407</v>
      </c>
      <c r="AA90" s="67">
        <f t="shared" si="123"/>
        <v>3.5760121744838023E-3</v>
      </c>
      <c r="AB90" s="92" t="str">
        <f t="shared" si="124"/>
        <v>12,212867021381-4,29084886203046i</v>
      </c>
      <c r="AC90" s="37">
        <f t="shared" si="125"/>
        <v>22.241846193056251</v>
      </c>
      <c r="AD90" s="60">
        <f t="shared" si="126"/>
        <v>-19.358332415857891</v>
      </c>
      <c r="AE90" t="str">
        <f t="shared" si="127"/>
        <v>21,0353732052265</v>
      </c>
      <c r="AF90" t="str">
        <f t="shared" si="108"/>
        <v>1+0,178062976260339i</v>
      </c>
      <c r="AG90">
        <f t="shared" si="128"/>
        <v>1.0157295031230953</v>
      </c>
      <c r="AH90">
        <f t="shared" si="129"/>
        <v>0.17621607280974291</v>
      </c>
      <c r="AI90" t="str">
        <f t="shared" si="109"/>
        <v>1+0,00989238757001884i</v>
      </c>
      <c r="AJ90">
        <f t="shared" si="130"/>
        <v>1.0000489284689202</v>
      </c>
      <c r="AK90">
        <f t="shared" si="131"/>
        <v>9.8920649014850176E-3</v>
      </c>
      <c r="AL90" t="str">
        <f t="shared" si="110"/>
        <v>1-0,000673091719011025i</v>
      </c>
      <c r="AM90">
        <f t="shared" si="132"/>
        <v>1.0000002265262053</v>
      </c>
      <c r="AN90">
        <f t="shared" si="133"/>
        <v>-6.7309161736243245E-4</v>
      </c>
      <c r="AO90" s="58" t="str">
        <f t="shared" si="134"/>
        <v>20,4225201843405-3,44256339784517i</v>
      </c>
      <c r="AP90">
        <f t="shared" si="135"/>
        <v>26.323870031004411</v>
      </c>
      <c r="AQ90" s="60">
        <f t="shared" si="136"/>
        <v>-9.5682289937442064</v>
      </c>
      <c r="AR90" t="str">
        <f t="shared" si="111"/>
        <v>-1,05811623246493</v>
      </c>
      <c r="AS90" t="str">
        <f t="shared" si="112"/>
        <v>1+0,00974993718901056i</v>
      </c>
      <c r="AT90">
        <f t="shared" si="137"/>
        <v>1.0000475295080677</v>
      </c>
      <c r="AU90">
        <f t="shared" si="138"/>
        <v>9.7496282594766413E-3</v>
      </c>
      <c r="AV90" t="str">
        <f t="shared" si="113"/>
        <v>1+0,00974993718901056i</v>
      </c>
      <c r="AW90">
        <f t="shared" si="139"/>
        <v>1.0000475295080677</v>
      </c>
      <c r="AX90">
        <f t="shared" si="140"/>
        <v>9.7496282594766413E-3</v>
      </c>
      <c r="AY90" t="str">
        <f t="shared" si="114"/>
        <v>1-2,61073942950484i</v>
      </c>
      <c r="AZ90">
        <f t="shared" si="141"/>
        <v>2.7957039129298469</v>
      </c>
      <c r="BA90">
        <f t="shared" si="142"/>
        <v>-1.2050014772532203</v>
      </c>
      <c r="BB90" s="58" t="str">
        <f t="shared" si="143"/>
        <v>-1,03108434853646+2,7725187767301i</v>
      </c>
      <c r="BC90">
        <f t="shared" si="144"/>
        <v>9.4200781979955348</v>
      </c>
      <c r="BD90" s="60">
        <f t="shared" si="145"/>
        <v>110.39988849527157</v>
      </c>
      <c r="BE90" s="58" t="str">
        <f t="shared" si="146"/>
        <v>-0,696036998412612+38,2846302380617i</v>
      </c>
      <c r="BF90" s="37">
        <f t="shared" si="147"/>
        <v>31.66192439105178</v>
      </c>
      <c r="BG90" s="60">
        <f t="shared" si="148"/>
        <v>91.041556079413667</v>
      </c>
      <c r="BH90" s="58" t="str">
        <f t="shared" si="149"/>
        <v>-11,5127692591339+60,1713939175961i</v>
      </c>
      <c r="BI90" s="37">
        <f t="shared" si="150"/>
        <v>35.74394822899994</v>
      </c>
      <c r="BJ90" s="60">
        <f t="shared" si="151"/>
        <v>100.83165950152734</v>
      </c>
      <c r="BK90">
        <f t="shared" si="152"/>
        <v>31.66192439105178</v>
      </c>
      <c r="BL90" s="60">
        <f t="shared" si="153"/>
        <v>91.041556079413667</v>
      </c>
      <c r="BN90">
        <f t="shared" si="154"/>
        <v>0</v>
      </c>
      <c r="BO90">
        <f t="shared" si="155"/>
        <v>0</v>
      </c>
    </row>
    <row r="91" spans="2:67" x14ac:dyDescent="0.25">
      <c r="M91" s="66">
        <v>73</v>
      </c>
      <c r="N91" s="36">
        <f t="shared" si="115"/>
        <v>53.703179637025293</v>
      </c>
      <c r="O91" s="91" t="str">
        <f t="shared" si="103"/>
        <v>13,7404580152672</v>
      </c>
      <c r="P91" s="67" t="str">
        <f t="shared" si="104"/>
        <v>1+0,364421191583718i</v>
      </c>
      <c r="Q91" s="67">
        <f t="shared" si="116"/>
        <v>1.0643320933220499</v>
      </c>
      <c r="R91" s="67">
        <f t="shared" si="117"/>
        <v>0.34946399800468703</v>
      </c>
      <c r="S91" s="67" t="str">
        <f t="shared" si="105"/>
        <v>1+0,0101228108773255i</v>
      </c>
      <c r="T91" s="67">
        <f t="shared" si="118"/>
        <v>1.0000512343375505</v>
      </c>
      <c r="U91" s="67">
        <f t="shared" si="119"/>
        <v>1.0122465132718977E-2</v>
      </c>
      <c r="V91" t="str">
        <f t="shared" si="106"/>
        <v>1-0,00210891893277614i</v>
      </c>
      <c r="W91" s="67">
        <f t="shared" si="120"/>
        <v>1.0000022237670601</v>
      </c>
      <c r="X91" s="67">
        <f t="shared" si="121"/>
        <v>-2.1089158062847038E-3</v>
      </c>
      <c r="Y91" t="str">
        <f t="shared" si="107"/>
        <v>0,999999815421984+0,00365932315175244i</v>
      </c>
      <c r="Z91" s="67">
        <f t="shared" si="122"/>
        <v>1.0000065107237706</v>
      </c>
      <c r="AA91" s="67">
        <f t="shared" si="123"/>
        <v>3.6593074937384682E-3</v>
      </c>
      <c r="AB91" s="92" t="str">
        <f t="shared" si="124"/>
        <v>12,1493138802086-4,3676355443068i</v>
      </c>
      <c r="AC91" s="37">
        <f t="shared" si="125"/>
        <v>22.218888800668005</v>
      </c>
      <c r="AD91" s="60">
        <f t="shared" si="126"/>
        <v>-19.773332497443977</v>
      </c>
      <c r="AE91" t="str">
        <f t="shared" si="127"/>
        <v>21,0353732052265</v>
      </c>
      <c r="AF91" t="str">
        <f t="shared" si="108"/>
        <v>1+0,182210595791859i</v>
      </c>
      <c r="AG91">
        <f t="shared" si="128"/>
        <v>1.0164648056961068</v>
      </c>
      <c r="AH91">
        <f t="shared" si="129"/>
        <v>0.18023333026779195</v>
      </c>
      <c r="AI91" t="str">
        <f t="shared" si="109"/>
        <v>1+0,0101228108773255i</v>
      </c>
      <c r="AJ91">
        <f t="shared" si="130"/>
        <v>1.0000512343375505</v>
      </c>
      <c r="AK91">
        <f t="shared" si="131"/>
        <v>1.0122465132718977E-2</v>
      </c>
      <c r="AL91" t="str">
        <f t="shared" si="110"/>
        <v>1-0,000688770039226188i</v>
      </c>
      <c r="AM91">
        <f t="shared" si="132"/>
        <v>1.0000002372020553</v>
      </c>
      <c r="AN91">
        <f t="shared" si="133"/>
        <v>-6.8876993030776007E-4</v>
      </c>
      <c r="AO91" s="58" t="str">
        <f t="shared" si="134"/>
        <v>20,3945654287843-3,51765734783207i</v>
      </c>
      <c r="AP91">
        <f t="shared" si="135"/>
        <v>26.317604573882022</v>
      </c>
      <c r="AQ91" s="60">
        <f t="shared" si="136"/>
        <v>-9.7860982316209757</v>
      </c>
      <c r="AR91" t="str">
        <f t="shared" si="111"/>
        <v>-1,05811623246493</v>
      </c>
      <c r="AS91" t="str">
        <f t="shared" si="112"/>
        <v>1+0,00997704240069201i</v>
      </c>
      <c r="AT91">
        <f t="shared" si="137"/>
        <v>1.0000497694490336</v>
      </c>
      <c r="AU91">
        <f t="shared" si="138"/>
        <v>9.9767113776221966E-3</v>
      </c>
      <c r="AV91" t="str">
        <f t="shared" si="113"/>
        <v>1+0,00997704240069201i</v>
      </c>
      <c r="AW91">
        <f t="shared" si="139"/>
        <v>1.0000497694490336</v>
      </c>
      <c r="AX91">
        <f t="shared" si="140"/>
        <v>9.9767113776221966E-3</v>
      </c>
      <c r="AY91" t="str">
        <f t="shared" si="114"/>
        <v>1-2,55131174472907i</v>
      </c>
      <c r="AZ91">
        <f t="shared" si="141"/>
        <v>2.7402904259936558</v>
      </c>
      <c r="BA91">
        <f t="shared" si="142"/>
        <v>-1.1972442699272512</v>
      </c>
      <c r="BB91" s="58" t="str">
        <f t="shared" si="143"/>
        <v>-1,03107972963537+2,70987149735732i</v>
      </c>
      <c r="BC91">
        <f t="shared" si="144"/>
        <v>9.2461671245435628</v>
      </c>
      <c r="BD91" s="60">
        <f t="shared" si="145"/>
        <v>110.83133283158909</v>
      </c>
      <c r="BE91" s="58" t="str">
        <f t="shared" si="146"/>
        <v>-0,691180198499012+37,4264598725946i</v>
      </c>
      <c r="BF91" s="37">
        <f t="shared" si="147"/>
        <v>31.465055925211566</v>
      </c>
      <c r="BG91" s="60">
        <f t="shared" si="148"/>
        <v>91.058000334145106</v>
      </c>
      <c r="BH91" s="58" t="str">
        <f t="shared" si="149"/>
        <v>-11,4960236239821+58,8936367436041i</v>
      </c>
      <c r="BI91" s="37">
        <f t="shared" si="150"/>
        <v>35.563771698425583</v>
      </c>
      <c r="BJ91" s="60">
        <f t="shared" si="151"/>
        <v>101.0452345999681</v>
      </c>
      <c r="BK91">
        <f t="shared" si="152"/>
        <v>31.465055925211566</v>
      </c>
      <c r="BL91" s="60">
        <f t="shared" si="153"/>
        <v>91.058000334145106</v>
      </c>
      <c r="BN91">
        <f t="shared" si="154"/>
        <v>0</v>
      </c>
      <c r="BO91">
        <f t="shared" si="155"/>
        <v>0</v>
      </c>
    </row>
    <row r="92" spans="2:67" x14ac:dyDescent="0.25">
      <c r="M92" s="66">
        <v>74</v>
      </c>
      <c r="N92" s="36">
        <f t="shared" si="115"/>
        <v>54.95408738576247</v>
      </c>
      <c r="O92" s="91" t="str">
        <f t="shared" si="103"/>
        <v>13,7404580152672</v>
      </c>
      <c r="P92" s="67" t="str">
        <f t="shared" si="104"/>
        <v>1+0,372909651586221i</v>
      </c>
      <c r="Q92" s="67">
        <f t="shared" si="116"/>
        <v>1.0672682925329304</v>
      </c>
      <c r="R92" s="67">
        <f t="shared" si="117"/>
        <v>0.35693677777897065</v>
      </c>
      <c r="S92" s="67" t="str">
        <f t="shared" si="105"/>
        <v>1+0,0103586014329506i</v>
      </c>
      <c r="T92" s="67">
        <f t="shared" si="118"/>
        <v>1.0000536488727225</v>
      </c>
      <c r="U92" s="67">
        <f t="shared" si="119"/>
        <v>1.035823096200341E-2</v>
      </c>
      <c r="V92" t="str">
        <f t="shared" si="106"/>
        <v>1-0,00215804196519804i</v>
      </c>
      <c r="W92" s="67">
        <f t="shared" si="120"/>
        <v>1.0000023285698507</v>
      </c>
      <c r="X92" s="67">
        <f t="shared" si="121"/>
        <v>-2.1580386151025294E-3</v>
      </c>
      <c r="Y92" t="str">
        <f t="shared" si="107"/>
        <v>0,99999980672309+0,003744559737679i</v>
      </c>
      <c r="Z92" s="67">
        <f t="shared" si="122"/>
        <v>1.0000068175636834</v>
      </c>
      <c r="AA92" s="67">
        <f t="shared" si="123"/>
        <v>3.7445429598209246E-3</v>
      </c>
      <c r="AB92" s="92" t="str">
        <f t="shared" si="124"/>
        <v>12,0834804377536-4,44482100955527i</v>
      </c>
      <c r="AC92" s="37">
        <f t="shared" si="125"/>
        <v>22.194979030595</v>
      </c>
      <c r="AD92" s="60">
        <f t="shared" si="126"/>
        <v>-20.195681014864238</v>
      </c>
      <c r="AE92" t="str">
        <f t="shared" si="127"/>
        <v>21,0353732052265</v>
      </c>
      <c r="AF92" t="str">
        <f t="shared" si="108"/>
        <v>1+0,186454825793111i</v>
      </c>
      <c r="AG92">
        <f t="shared" si="128"/>
        <v>1.0172341923379982</v>
      </c>
      <c r="AH92">
        <f t="shared" si="129"/>
        <v>0.18433808143170236</v>
      </c>
      <c r="AI92" t="str">
        <f t="shared" si="109"/>
        <v>1+0,0103586014329506i</v>
      </c>
      <c r="AJ92">
        <f t="shared" si="130"/>
        <v>1.0000536488727225</v>
      </c>
      <c r="AK92">
        <f t="shared" si="131"/>
        <v>1.035823096200341E-2</v>
      </c>
      <c r="AL92" t="str">
        <f t="shared" si="110"/>
        <v>1-0,000704813554433099i</v>
      </c>
      <c r="AM92">
        <f t="shared" si="132"/>
        <v>1.0000002483810424</v>
      </c>
      <c r="AN92">
        <f t="shared" si="133"/>
        <v>-7.0481343772490243E-4</v>
      </c>
      <c r="AO92" s="58" t="str">
        <f t="shared" si="134"/>
        <v>20,3653797408755-3,59415230092678i</v>
      </c>
      <c r="AP92">
        <f t="shared" si="135"/>
        <v>26.311053570603487</v>
      </c>
      <c r="AQ92" s="60">
        <f t="shared" si="136"/>
        <v>-10.008693987556629</v>
      </c>
      <c r="AR92" t="str">
        <f t="shared" si="111"/>
        <v>-1,05811623246493</v>
      </c>
      <c r="AS92" t="str">
        <f t="shared" si="112"/>
        <v>1+0,0102094375723161i</v>
      </c>
      <c r="AT92">
        <f t="shared" si="137"/>
        <v>1.0000521149497874</v>
      </c>
      <c r="AU92">
        <f t="shared" si="138"/>
        <v>1.0209082875704614E-2</v>
      </c>
      <c r="AV92" t="str">
        <f t="shared" si="113"/>
        <v>1+0,0102094375723161i</v>
      </c>
      <c r="AW92">
        <f t="shared" si="139"/>
        <v>1.0000521149497874</v>
      </c>
      <c r="AX92">
        <f t="shared" si="140"/>
        <v>1.0209082875704614E-2</v>
      </c>
      <c r="AY92" t="str">
        <f t="shared" si="114"/>
        <v>1-2,49323679921096i</v>
      </c>
      <c r="AZ92">
        <f t="shared" si="141"/>
        <v>2.6863041035853916</v>
      </c>
      <c r="BA92">
        <f t="shared" si="142"/>
        <v>-1.189354914040806</v>
      </c>
      <c r="BB92" s="58" t="str">
        <f t="shared" si="143"/>
        <v>-1,03107489309653+2,64866102337747i</v>
      </c>
      <c r="BC92">
        <f t="shared" si="144"/>
        <v>9.0733183954638168</v>
      </c>
      <c r="BD92" s="60">
        <f t="shared" si="145"/>
        <v>111.27004572083986</v>
      </c>
      <c r="BE92" s="58" t="str">
        <f t="shared" si="146"/>
        <v>-0,686149136692467+36,5879870094825i</v>
      </c>
      <c r="BF92" s="37">
        <f t="shared" si="147"/>
        <v>31.268297426058815</v>
      </c>
      <c r="BG92" s="60">
        <f t="shared" si="148"/>
        <v>91.074364705975626</v>
      </c>
      <c r="BH92" s="58" t="str">
        <f t="shared" si="149"/>
        <v>-11,4785406276462+57,6468277453888i</v>
      </c>
      <c r="BI92" s="37">
        <f t="shared" si="150"/>
        <v>35.384371966067299</v>
      </c>
      <c r="BJ92" s="60">
        <f t="shared" si="151"/>
        <v>101.26135173328321</v>
      </c>
      <c r="BK92">
        <f t="shared" si="152"/>
        <v>31.268297426058815</v>
      </c>
      <c r="BL92" s="60">
        <f t="shared" si="153"/>
        <v>91.074364705975626</v>
      </c>
      <c r="BN92">
        <f t="shared" si="154"/>
        <v>0</v>
      </c>
      <c r="BO92">
        <f t="shared" si="155"/>
        <v>0</v>
      </c>
    </row>
    <row r="93" spans="2:67" x14ac:dyDescent="0.25">
      <c r="M93" s="66">
        <v>75</v>
      </c>
      <c r="N93" s="36">
        <f t="shared" si="115"/>
        <v>56.234132519034915</v>
      </c>
      <c r="O93" s="91" t="str">
        <f t="shared" si="103"/>
        <v>13,7404580152672</v>
      </c>
      <c r="P93" s="67" t="str">
        <f t="shared" si="104"/>
        <v>1+0,381595833222037i</v>
      </c>
      <c r="Q93" s="67">
        <f t="shared" si="116"/>
        <v>1.0703342374849178</v>
      </c>
      <c r="R93" s="67">
        <f t="shared" si="117"/>
        <v>0.36454074203847786</v>
      </c>
      <c r="S93" s="67" t="str">
        <f t="shared" si="105"/>
        <v>1+0,0105998842561677i</v>
      </c>
      <c r="T93" s="67">
        <f t="shared" si="118"/>
        <v>1.0000561771951835</v>
      </c>
      <c r="U93" s="67">
        <f t="shared" si="119"/>
        <v>1.0599487290600104E-2</v>
      </c>
      <c r="V93" t="str">
        <f t="shared" si="106"/>
        <v>1-0,00220830922003494i</v>
      </c>
      <c r="W93" s="67">
        <f t="shared" si="120"/>
        <v>1.0000024383118329</v>
      </c>
      <c r="X93" s="67">
        <f t="shared" si="121"/>
        <v>-2.2083056303433988E-3</v>
      </c>
      <c r="Y93" t="str">
        <f t="shared" si="107"/>
        <v>0,99999979761423+0,00383178173874357i</v>
      </c>
      <c r="Z93" s="67">
        <f t="shared" si="122"/>
        <v>1.0000071388644154</v>
      </c>
      <c r="AA93" s="67">
        <f t="shared" si="123"/>
        <v>3.8317637609516712E-3</v>
      </c>
      <c r="AB93" s="92" t="str">
        <f t="shared" si="124"/>
        <v>12,0153153397245-4,52234277041886i</v>
      </c>
      <c r="AC93" s="37">
        <f t="shared" si="125"/>
        <v>22.170082941640132</v>
      </c>
      <c r="AD93" s="60">
        <f t="shared" si="126"/>
        <v>-20.625410576705455</v>
      </c>
      <c r="AE93" t="str">
        <f t="shared" si="127"/>
        <v>21,0353732052265</v>
      </c>
      <c r="AF93" t="str">
        <f t="shared" si="108"/>
        <v>1+0,190797916611019i</v>
      </c>
      <c r="AG93">
        <f t="shared" si="128"/>
        <v>1.0180392158375362</v>
      </c>
      <c r="AH93">
        <f t="shared" si="129"/>
        <v>0.18853194913662705</v>
      </c>
      <c r="AI93" t="str">
        <f t="shared" si="109"/>
        <v>1+0,0105998842561677i</v>
      </c>
      <c r="AJ93">
        <f t="shared" si="130"/>
        <v>1.0000561771951835</v>
      </c>
      <c r="AK93">
        <f t="shared" si="131"/>
        <v>1.0599487290600104E-2</v>
      </c>
      <c r="AL93" t="str">
        <f t="shared" si="110"/>
        <v>1-0,000721230771115879i</v>
      </c>
      <c r="AM93">
        <f t="shared" si="132"/>
        <v>1.0000002600868787</v>
      </c>
      <c r="AN93">
        <f t="shared" si="133"/>
        <v>-7.2123064606079493E-4</v>
      </c>
      <c r="AO93" s="58" t="str">
        <f t="shared" si="134"/>
        <v>20,3349130272181-3,67205787723631i</v>
      </c>
      <c r="AP93">
        <f t="shared" si="135"/>
        <v>26.304204470798723</v>
      </c>
      <c r="AQ93" s="60">
        <f t="shared" si="136"/>
        <v>-10.236102574224677</v>
      </c>
      <c r="AR93" t="str">
        <f t="shared" si="111"/>
        <v>-1,05811623246493</v>
      </c>
      <c r="AS93" t="str">
        <f t="shared" si="112"/>
        <v>1+0,0104472459228789i</v>
      </c>
      <c r="AT93">
        <f t="shared" si="137"/>
        <v>1.0000545709846904</v>
      </c>
      <c r="AU93">
        <f t="shared" si="138"/>
        <v>1.044686585973229E-2</v>
      </c>
      <c r="AV93" t="str">
        <f t="shared" si="113"/>
        <v>1+0,0104472459228789i</v>
      </c>
      <c r="AW93">
        <f t="shared" si="139"/>
        <v>1.0000545709846904</v>
      </c>
      <c r="AX93">
        <f t="shared" si="140"/>
        <v>1.044686585973229E-2</v>
      </c>
      <c r="AY93" t="str">
        <f t="shared" si="114"/>
        <v>1-2,43648380084568i</v>
      </c>
      <c r="AZ93">
        <f t="shared" si="141"/>
        <v>2.6337147362201949</v>
      </c>
      <c r="BA93">
        <f t="shared" si="142"/>
        <v>-1.1813331559768605</v>
      </c>
      <c r="BB93" s="58" t="str">
        <f t="shared" si="143"/>
        <v>-1,03106982866727+2,58885489987641i</v>
      </c>
      <c r="BC93">
        <f t="shared" si="144"/>
        <v>8.9015682281065285</v>
      </c>
      <c r="BD93" s="60">
        <f t="shared" si="145"/>
        <v>111.71603464075413</v>
      </c>
      <c r="BE93" s="58" t="str">
        <f t="shared" si="146"/>
        <v>-0,680939888593436+35,7687591762764i</v>
      </c>
      <c r="BF93" s="37">
        <f t="shared" si="147"/>
        <v>31.071651169746659</v>
      </c>
      <c r="BG93" s="60">
        <f t="shared" si="148"/>
        <v>91.090624064048683</v>
      </c>
      <c r="BH93" s="58" t="str">
        <f t="shared" si="149"/>
        <v>-11,4602902628246+56,4302873154126i</v>
      </c>
      <c r="BI93" s="37">
        <f t="shared" si="150"/>
        <v>35.205772698905257</v>
      </c>
      <c r="BJ93" s="60">
        <f t="shared" si="151"/>
        <v>101.47993206652944</v>
      </c>
      <c r="BK93">
        <f t="shared" si="152"/>
        <v>31.071651169746659</v>
      </c>
      <c r="BL93" s="60">
        <f t="shared" si="153"/>
        <v>91.090624064048683</v>
      </c>
      <c r="BN93">
        <f t="shared" si="154"/>
        <v>0</v>
      </c>
      <c r="BO93">
        <f t="shared" si="155"/>
        <v>0</v>
      </c>
    </row>
    <row r="94" spans="2:67" x14ac:dyDescent="0.25">
      <c r="M94" s="66">
        <v>76</v>
      </c>
      <c r="N94" s="36">
        <f t="shared" si="115"/>
        <v>57.543993733715695</v>
      </c>
      <c r="O94" s="91" t="str">
        <f t="shared" si="103"/>
        <v>13,7404580152672</v>
      </c>
      <c r="P94" s="67" t="str">
        <f t="shared" si="104"/>
        <v>1+0,390484342019646i</v>
      </c>
      <c r="Q94" s="67">
        <f t="shared" si="116"/>
        <v>1.0735352911583838</v>
      </c>
      <c r="R94" s="67">
        <f t="shared" si="117"/>
        <v>0.37227640419620606</v>
      </c>
      <c r="S94" s="67" t="str">
        <f t="shared" si="105"/>
        <v>1+0,0108467872783235i</v>
      </c>
      <c r="T94" s="67">
        <f t="shared" si="118"/>
        <v>1.0000588246669599</v>
      </c>
      <c r="U94" s="67">
        <f t="shared" si="119"/>
        <v>1.0846361923405596E-2</v>
      </c>
      <c r="V94" t="str">
        <f t="shared" si="106"/>
        <v>1-0,00225974734965073i</v>
      </c>
      <c r="W94" s="67">
        <f t="shared" si="120"/>
        <v>1.0000025532257826</v>
      </c>
      <c r="X94" s="67">
        <f t="shared" si="121"/>
        <v>-2.2597435032274743E-3</v>
      </c>
      <c r="Y94" t="str">
        <f t="shared" si="107"/>
        <v>0,999999788076082+0,00392103540120566i</v>
      </c>
      <c r="Z94" s="67">
        <f t="shared" si="122"/>
        <v>1.000007475307473</v>
      </c>
      <c r="AA94" s="67">
        <f t="shared" si="123"/>
        <v>3.9210161376623514E-3</v>
      </c>
      <c r="AB94" s="92" t="str">
        <f t="shared" si="124"/>
        <v>11,9447686491449-4,60013439130763i</v>
      </c>
      <c r="AC94" s="37">
        <f t="shared" si="125"/>
        <v>22.144165847917954</v>
      </c>
      <c r="AD94" s="60">
        <f t="shared" si="126"/>
        <v>-21.062547453074167</v>
      </c>
      <c r="AE94" t="str">
        <f t="shared" si="127"/>
        <v>21,0353732052265</v>
      </c>
      <c r="AF94" t="str">
        <f t="shared" si="108"/>
        <v>1+0,195242171009823i</v>
      </c>
      <c r="AG94">
        <f t="shared" si="128"/>
        <v>1.0188814972020195</v>
      </c>
      <c r="AH94">
        <f t="shared" si="129"/>
        <v>0.19281656662803529</v>
      </c>
      <c r="AI94" t="str">
        <f t="shared" si="109"/>
        <v>1+0,0108467872783235i</v>
      </c>
      <c r="AJ94">
        <f t="shared" si="130"/>
        <v>1.0000588246669599</v>
      </c>
      <c r="AK94">
        <f t="shared" si="131"/>
        <v>1.0846361923405596E-2</v>
      </c>
      <c r="AL94" t="str">
        <f t="shared" si="110"/>
        <v>1-0,000738030393900125i</v>
      </c>
      <c r="AM94">
        <f t="shared" si="132"/>
        <v>1.0000002723443939</v>
      </c>
      <c r="AN94">
        <f t="shared" si="133"/>
        <v>-7.3803025990119018E-4</v>
      </c>
      <c r="AO94" s="58" t="str">
        <f t="shared" si="134"/>
        <v>20,3031135369021-3,75138249149895i</v>
      </c>
      <c r="AP94">
        <f t="shared" si="135"/>
        <v>26.29704421551277</v>
      </c>
      <c r="AQ94" s="60">
        <f t="shared" si="136"/>
        <v>-10.468410745752218</v>
      </c>
      <c r="AR94" t="str">
        <f t="shared" si="111"/>
        <v>-1,05811623246493</v>
      </c>
      <c r="AS94" t="str">
        <f t="shared" si="112"/>
        <v>1+0,0106905935415157i</v>
      </c>
      <c r="AT94">
        <f t="shared" si="137"/>
        <v>1.0000571427624874</v>
      </c>
      <c r="AU94">
        <f t="shared" si="138"/>
        <v>1.0690186297773664E-2</v>
      </c>
      <c r="AV94" t="str">
        <f t="shared" si="113"/>
        <v>1+0,0106905935415157i</v>
      </c>
      <c r="AW94">
        <f t="shared" si="139"/>
        <v>1.0000571427624874</v>
      </c>
      <c r="AX94">
        <f t="shared" si="140"/>
        <v>1.0690186297773664E-2</v>
      </c>
      <c r="AY94" t="str">
        <f t="shared" si="114"/>
        <v>1-2,38102265844228i</v>
      </c>
      <c r="AZ94">
        <f t="shared" si="141"/>
        <v>2.5824927686279282</v>
      </c>
      <c r="BA94">
        <f t="shared" si="142"/>
        <v>-1.1731788730474859</v>
      </c>
      <c r="BB94" s="58" t="str">
        <f t="shared" si="143"/>
        <v>-1,03106452561214+2,53042141652298i</v>
      </c>
      <c r="BC94">
        <f t="shared" si="144"/>
        <v>8.7309534987170654</v>
      </c>
      <c r="BD94" s="60">
        <f t="shared" si="145"/>
        <v>112.16929940339384</v>
      </c>
      <c r="BE94" s="58" t="str">
        <f t="shared" si="146"/>
        <v>-0,675548638128619+34,9683337891342i</v>
      </c>
      <c r="BF94" s="37">
        <f t="shared" si="147"/>
        <v>30.875119346635014</v>
      </c>
      <c r="BG94" s="60">
        <f t="shared" si="148"/>
        <v>91.106751950319676</v>
      </c>
      <c r="BH94" s="58" t="str">
        <f t="shared" si="149"/>
        <v>-11,4412415293171+55,2433507248618i</v>
      </c>
      <c r="BI94" s="37">
        <f t="shared" si="150"/>
        <v>35.027997714229841</v>
      </c>
      <c r="BJ94" s="60">
        <f t="shared" si="151"/>
        <v>101.70088865764161</v>
      </c>
      <c r="BK94">
        <f t="shared" si="152"/>
        <v>30.875119346635014</v>
      </c>
      <c r="BL94" s="60">
        <f t="shared" si="153"/>
        <v>91.106751950319676</v>
      </c>
      <c r="BN94">
        <f t="shared" si="154"/>
        <v>0</v>
      </c>
      <c r="BO94">
        <f t="shared" si="155"/>
        <v>0</v>
      </c>
    </row>
    <row r="95" spans="2:67" x14ac:dyDescent="0.25">
      <c r="M95" s="66">
        <v>77</v>
      </c>
      <c r="N95" s="36">
        <f t="shared" si="115"/>
        <v>58.884365535558949</v>
      </c>
      <c r="O95" s="91" t="str">
        <f t="shared" si="103"/>
        <v>13,7404580152672</v>
      </c>
      <c r="P95" s="67" t="str">
        <f t="shared" si="104"/>
        <v>1+0,399579890784065i</v>
      </c>
      <c r="Q95" s="67">
        <f t="shared" si="116"/>
        <v>1.0768770074242486</v>
      </c>
      <c r="R95" s="67">
        <f t="shared" si="117"/>
        <v>0.38014416153856961</v>
      </c>
      <c r="S95" s="67" t="str">
        <f t="shared" si="105"/>
        <v>1+0,0110994414106685i</v>
      </c>
      <c r="T95" s="67">
        <f t="shared" si="118"/>
        <v>1.0000615969027251</v>
      </c>
      <c r="U95" s="67">
        <f t="shared" si="119"/>
        <v>1.1098985636178548E-2</v>
      </c>
      <c r="V95" t="str">
        <f t="shared" si="106"/>
        <v>1-0,0023123836272226i</v>
      </c>
      <c r="W95" s="67">
        <f t="shared" si="120"/>
        <v>1.0000026735554457</v>
      </c>
      <c r="X95" s="67">
        <f t="shared" si="121"/>
        <v>-2.3123795057064206E-3</v>
      </c>
      <c r="Y95" t="str">
        <f t="shared" si="107"/>
        <v>0,999999778088416+0,00401236804853851i</v>
      </c>
      <c r="Z95" s="67">
        <f t="shared" si="122"/>
        <v>1.0000078276064834</v>
      </c>
      <c r="AA95" s="67">
        <f t="shared" si="123"/>
        <v>4.0123474072886909E-3</v>
      </c>
      <c r="AB95" s="92" t="str">
        <f t="shared" si="124"/>
        <v>11,8717921051534-4,6781254378123i</v>
      </c>
      <c r="AC95" s="37">
        <f t="shared" si="125"/>
        <v>22.117192341721527</v>
      </c>
      <c r="AD95" s="60">
        <f t="shared" si="126"/>
        <v>-21.50711118755741</v>
      </c>
      <c r="AE95" t="str">
        <f t="shared" si="127"/>
        <v>21,0353732052265</v>
      </c>
      <c r="AF95" t="str">
        <f t="shared" si="108"/>
        <v>1+0,199789945392033i</v>
      </c>
      <c r="AG95">
        <f t="shared" si="128"/>
        <v>1.0197627284225246</v>
      </c>
      <c r="AH95">
        <f t="shared" si="129"/>
        <v>0.19719357610888699</v>
      </c>
      <c r="AI95" t="str">
        <f t="shared" si="109"/>
        <v>1+0,0110994414106685i</v>
      </c>
      <c r="AJ95">
        <f t="shared" si="130"/>
        <v>1.0000615969027251</v>
      </c>
      <c r="AK95">
        <f t="shared" si="131"/>
        <v>1.1098985636178548E-2</v>
      </c>
      <c r="AL95" t="str">
        <f t="shared" si="110"/>
        <v>1-0,000755221330168202i</v>
      </c>
      <c r="AM95">
        <f t="shared" si="132"/>
        <v>1.0000002851795882</v>
      </c>
      <c r="AN95">
        <f t="shared" si="133"/>
        <v>-7.5522118658575871E-4</v>
      </c>
      <c r="AO95" s="58" t="str">
        <f t="shared" si="134"/>
        <v>20,2699278428413-3,83213324691139i</v>
      </c>
      <c r="AP95">
        <f t="shared" si="135"/>
        <v>26.289559220584465</v>
      </c>
      <c r="AQ95" s="60">
        <f t="shared" si="136"/>
        <v>-10.705705610891876</v>
      </c>
      <c r="AR95" t="str">
        <f t="shared" si="111"/>
        <v>-1,05811623246493</v>
      </c>
      <c r="AS95" t="str">
        <f t="shared" si="112"/>
        <v>1+0,0109396094543549i</v>
      </c>
      <c r="AT95">
        <f t="shared" si="137"/>
        <v>1.0000598357373491</v>
      </c>
      <c r="AU95">
        <f t="shared" si="138"/>
        <v>1.0939173086233473E-2</v>
      </c>
      <c r="AV95" t="str">
        <f t="shared" si="113"/>
        <v>1+0,0109396094543549i</v>
      </c>
      <c r="AW95">
        <f t="shared" si="139"/>
        <v>1.0000598357373491</v>
      </c>
      <c r="AX95">
        <f t="shared" si="140"/>
        <v>1.0939173086233473E-2</v>
      </c>
      <c r="AY95" t="str">
        <f t="shared" si="114"/>
        <v>1-2,32682396576895i</v>
      </c>
      <c r="AZ95">
        <f t="shared" si="141"/>
        <v>2.5326092805003979</v>
      </c>
      <c r="BA95">
        <f t="shared" si="142"/>
        <v>-1.1648920803711824</v>
      </c>
      <c r="BB95" s="58" t="str">
        <f t="shared" si="143"/>
        <v>-1,03105897269018+2,47332959075419i</v>
      </c>
      <c r="BC95">
        <f t="shared" si="144"/>
        <v>8.5615117065631008</v>
      </c>
      <c r="BD95" s="60">
        <f t="shared" si="145"/>
        <v>112.62983175731266</v>
      </c>
      <c r="BE95" s="58" t="str">
        <f t="shared" si="146"/>
        <v>-0,669971697329792+34,1862779169844i</v>
      </c>
      <c r="BF95" s="37">
        <f t="shared" si="147"/>
        <v>30.678704048284622</v>
      </c>
      <c r="BG95" s="60">
        <f t="shared" si="148"/>
        <v>91.122720569755259</v>
      </c>
      <c r="BH95" s="58" t="str">
        <f t="shared" si="149"/>
        <v>-11,4213624228452+54,085367704924i</v>
      </c>
      <c r="BI95" s="37">
        <f t="shared" si="150"/>
        <v>34.851070927147568</v>
      </c>
      <c r="BJ95" s="60">
        <f t="shared" si="151"/>
        <v>101.92412614642083</v>
      </c>
      <c r="BK95">
        <f t="shared" si="152"/>
        <v>30.678704048284622</v>
      </c>
      <c r="BL95" s="60">
        <f t="shared" si="153"/>
        <v>91.122720569755259</v>
      </c>
      <c r="BN95">
        <f t="shared" si="154"/>
        <v>0</v>
      </c>
      <c r="BO95">
        <f t="shared" si="155"/>
        <v>0</v>
      </c>
    </row>
    <row r="96" spans="2:67" x14ac:dyDescent="0.25">
      <c r="M96" s="66">
        <v>78</v>
      </c>
      <c r="N96" s="36">
        <f t="shared" si="115"/>
        <v>60.255958607435822</v>
      </c>
      <c r="O96" s="91" t="str">
        <f t="shared" si="103"/>
        <v>13,7404580152672</v>
      </c>
      <c r="P96" s="67" t="str">
        <f t="shared" si="104"/>
        <v>1+0,408887302095643i</v>
      </c>
      <c r="Q96" s="67">
        <f t="shared" si="116"/>
        <v>1.0803651354125852</v>
      </c>
      <c r="R96" s="67">
        <f t="shared" si="117"/>
        <v>0.38814428840838966</v>
      </c>
      <c r="S96" s="67" t="str">
        <f t="shared" si="105"/>
        <v>1+0,0113579806137679i</v>
      </c>
      <c r="T96" s="67">
        <f t="shared" si="118"/>
        <v>1.0000644997817005</v>
      </c>
      <c r="U96" s="67">
        <f t="shared" si="119"/>
        <v>1.1357492244304226E-2</v>
      </c>
      <c r="V96" t="str">
        <f t="shared" si="106"/>
        <v>1-0,00236624596120164i</v>
      </c>
      <c r="W96" s="67">
        <f t="shared" si="120"/>
        <v>1.0000027995560556</v>
      </c>
      <c r="X96" s="67">
        <f t="shared" si="121"/>
        <v>-2.3662415449181543E-3</v>
      </c>
      <c r="Y96" t="str">
        <f t="shared" si="107"/>
        <v>0,999999767630045+0,00410582810652066i</v>
      </c>
      <c r="Z96" s="67">
        <f t="shared" si="122"/>
        <v>1.0000081965087007</v>
      </c>
      <c r="AA96" s="67">
        <f t="shared" si="123"/>
        <v>4.1058059890327851E-3</v>
      </c>
      <c r="AB96" s="92" t="str">
        <f t="shared" si="124"/>
        <v>11,7963393948865-4,75624144144905i</v>
      </c>
      <c r="AC96" s="37">
        <f t="shared" si="125"/>
        <v>22.089126320303684</v>
      </c>
      <c r="AD96" s="60">
        <f t="shared" si="126"/>
        <v>-21.959114204961651</v>
      </c>
      <c r="AE96" t="str">
        <f t="shared" si="127"/>
        <v>21,0353732052265</v>
      </c>
      <c r="AF96" t="str">
        <f t="shared" si="108"/>
        <v>1+0,204443651047822i</v>
      </c>
      <c r="AG96">
        <f t="shared" si="128"/>
        <v>1.0206846753301253</v>
      </c>
      <c r="AH96">
        <f t="shared" si="129"/>
        <v>0.20166462716105213</v>
      </c>
      <c r="AI96" t="str">
        <f t="shared" si="109"/>
        <v>1+0,0113579806137679i</v>
      </c>
      <c r="AJ96">
        <f t="shared" si="130"/>
        <v>1.0000644997817005</v>
      </c>
      <c r="AK96">
        <f t="shared" si="131"/>
        <v>1.1357492244304226E-2</v>
      </c>
      <c r="AL96" t="str">
        <f t="shared" si="110"/>
        <v>1-0,00077281269478207i</v>
      </c>
      <c r="AM96">
        <f t="shared" si="132"/>
        <v>1.0000002986196861</v>
      </c>
      <c r="AN96">
        <f t="shared" si="133"/>
        <v>-7.7281254093071266E-4</v>
      </c>
      <c r="AO96" s="58" t="str">
        <f t="shared" si="134"/>
        <v>20,2353008268366-3,91431582347363i</v>
      </c>
      <c r="AP96">
        <f t="shared" si="135"/>
        <v>26.281735359861607</v>
      </c>
      <c r="AQ96" s="60">
        <f t="shared" si="136"/>
        <v>-10.948074538906516</v>
      </c>
      <c r="AR96" t="str">
        <f t="shared" si="111"/>
        <v>-1,05811623246493</v>
      </c>
      <c r="AS96" t="str">
        <f t="shared" si="112"/>
        <v>1+0,0111944256929296i</v>
      </c>
      <c r="AT96">
        <f t="shared" si="137"/>
        <v>1.0000626556204339</v>
      </c>
      <c r="AU96">
        <f t="shared" si="138"/>
        <v>1.1193958117645448E-2</v>
      </c>
      <c r="AV96" t="str">
        <f t="shared" si="113"/>
        <v>1+0,0111944256929296i</v>
      </c>
      <c r="AW96">
        <f t="shared" si="139"/>
        <v>1.0000626556204339</v>
      </c>
      <c r="AX96">
        <f t="shared" si="140"/>
        <v>1.1193958117645448E-2</v>
      </c>
      <c r="AY96" t="str">
        <f t="shared" si="114"/>
        <v>1-2,27385898596143i</v>
      </c>
      <c r="AZ96">
        <f t="shared" si="141"/>
        <v>2.4840359675410384</v>
      </c>
      <c r="BA96">
        <f t="shared" si="142"/>
        <v>-1.1564729377264977</v>
      </c>
      <c r="BB96" s="58" t="str">
        <f t="shared" si="143"/>
        <v>-1,03105315813118+2,41754915134619i</v>
      </c>
      <c r="BC96">
        <f t="shared" si="144"/>
        <v>8.3932809335910932</v>
      </c>
      <c r="BD96" s="60">
        <f t="shared" si="145"/>
        <v>113.09761499098873</v>
      </c>
      <c r="BE96" s="58" t="str">
        <f t="shared" si="146"/>
        <v>-0,664205527112248+33,4221680521399i</v>
      </c>
      <c r="BF96" s="37">
        <f t="shared" si="147"/>
        <v>30.48240725389477</v>
      </c>
      <c r="BG96" s="60">
        <f t="shared" si="148"/>
        <v>91.138500786027095</v>
      </c>
      <c r="BH96" s="58" t="str">
        <f t="shared" si="149"/>
        <v>-11,4006199261047+52,955702032869i</v>
      </c>
      <c r="BI96" s="37">
        <f t="shared" si="150"/>
        <v>34.6750162934527</v>
      </c>
      <c r="BJ96" s="60">
        <f t="shared" si="151"/>
        <v>102.14954045208222</v>
      </c>
      <c r="BK96">
        <f t="shared" si="152"/>
        <v>30.48240725389477</v>
      </c>
      <c r="BL96" s="60">
        <f t="shared" si="153"/>
        <v>91.138500786027095</v>
      </c>
      <c r="BN96">
        <f t="shared" si="154"/>
        <v>0</v>
      </c>
      <c r="BO96">
        <f t="shared" si="155"/>
        <v>0</v>
      </c>
    </row>
    <row r="97" spans="13:67" x14ac:dyDescent="0.25">
      <c r="M97" s="66">
        <v>79</v>
      </c>
      <c r="N97" s="36">
        <f t="shared" si="115"/>
        <v>61.659500186148257</v>
      </c>
      <c r="O97" s="91" t="str">
        <f t="shared" si="103"/>
        <v>13,7404580152672</v>
      </c>
      <c r="P97" s="67" t="str">
        <f t="shared" si="104"/>
        <v>1+0,418411510867056i</v>
      </c>
      <c r="Q97" s="67">
        <f t="shared" si="116"/>
        <v>1.0840056237981666</v>
      </c>
      <c r="R97" s="67">
        <f t="shared" si="117"/>
        <v>0.39627692934225373</v>
      </c>
      <c r="S97" s="67" t="str">
        <f t="shared" si="105"/>
        <v>1+0,0116225419685293i</v>
      </c>
      <c r="T97" s="67">
        <f t="shared" si="118"/>
        <v>1.0000675394601157</v>
      </c>
      <c r="U97" s="67">
        <f t="shared" si="119"/>
        <v>1.1622018673129586E-2</v>
      </c>
      <c r="V97" t="str">
        <f t="shared" si="106"/>
        <v>1-0,00242136291011028i</v>
      </c>
      <c r="W97" s="67">
        <f t="shared" si="120"/>
        <v>1.0000029314948744</v>
      </c>
      <c r="X97" s="67">
        <f t="shared" si="121"/>
        <v>-2.4213581779780171E-3</v>
      </c>
      <c r="Y97" t="str">
        <f t="shared" si="107"/>
        <v>0,999999756678786+0,00420146512891195i</v>
      </c>
      <c r="Z97" s="67">
        <f t="shared" si="122"/>
        <v>1.0000085827965983</v>
      </c>
      <c r="AA97" s="67">
        <f t="shared" si="123"/>
        <v>4.2014414296076934E-3</v>
      </c>
      <c r="AB97" s="92" t="str">
        <f t="shared" si="124"/>
        <v>11,7183664378137-4,83440388143175i</v>
      </c>
      <c r="AC97" s="37">
        <f t="shared" si="125"/>
        <v>22.059931016762</v>
      </c>
      <c r="AD97" s="60">
        <f t="shared" si="126"/>
        <v>-22.418561416398084</v>
      </c>
      <c r="AE97" t="str">
        <f t="shared" si="127"/>
        <v>21,0353732052265</v>
      </c>
      <c r="AF97" t="str">
        <f t="shared" si="108"/>
        <v>1+0,209205755433528i</v>
      </c>
      <c r="AG97">
        <f t="shared" si="128"/>
        <v>1.0216491805441401</v>
      </c>
      <c r="AH97">
        <f t="shared" si="129"/>
        <v>0.20623137503459985</v>
      </c>
      <c r="AI97" t="str">
        <f t="shared" si="109"/>
        <v>1+0,0116225419685293i</v>
      </c>
      <c r="AJ97">
        <f t="shared" si="130"/>
        <v>1.0000675394601157</v>
      </c>
      <c r="AK97">
        <f t="shared" si="131"/>
        <v>1.1622018673129586E-2</v>
      </c>
      <c r="AL97" t="str">
        <f t="shared" si="110"/>
        <v>1-0,000790813814916099i</v>
      </c>
      <c r="AM97">
        <f t="shared" si="132"/>
        <v>1.000000312693196</v>
      </c>
      <c r="AN97">
        <f t="shared" si="133"/>
        <v>-7.908136500614023E-4</v>
      </c>
      <c r="AO97" s="58" t="str">
        <f t="shared" si="134"/>
        <v>20,1991756688355-3,99793436076446i</v>
      </c>
      <c r="AP97">
        <f t="shared" si="135"/>
        <v>26.273557948291529</v>
      </c>
      <c r="AQ97" s="60">
        <f t="shared" si="136"/>
        <v>-11.195605057799527</v>
      </c>
      <c r="AR97" t="str">
        <f t="shared" si="111"/>
        <v>-1,05811623246493</v>
      </c>
      <c r="AS97" t="str">
        <f t="shared" si="112"/>
        <v>1+0,0114551773641825i</v>
      </c>
      <c r="AT97">
        <f t="shared" si="137"/>
        <v>1.0000656083919919</v>
      </c>
      <c r="AU97">
        <f t="shared" si="138"/>
        <v>1.1454676350014065E-2</v>
      </c>
      <c r="AV97" t="str">
        <f t="shared" si="113"/>
        <v>1+0,0114551773641825i</v>
      </c>
      <c r="AW97">
        <f t="shared" si="139"/>
        <v>1.0000656083919919</v>
      </c>
      <c r="AX97">
        <f t="shared" si="140"/>
        <v>1.1454676350014065E-2</v>
      </c>
      <c r="AY97" t="str">
        <f t="shared" si="114"/>
        <v>1-2,22209963628634i</v>
      </c>
      <c r="AZ97">
        <f t="shared" si="141"/>
        <v>2.4367451228193495</v>
      </c>
      <c r="BA97">
        <f t="shared" si="142"/>
        <v>-1.1479217563452582</v>
      </c>
      <c r="BB97" s="58" t="str">
        <f t="shared" si="143"/>
        <v>-1,03104706961075+2,3630505223622i</v>
      </c>
      <c r="BC97">
        <f t="shared" si="144"/>
        <v>8.2262997994666449</v>
      </c>
      <c r="BD97" s="60">
        <f t="shared" si="145"/>
        <v>113.57262353962786</v>
      </c>
      <c r="BE97" s="58" t="str">
        <f t="shared" si="146"/>
        <v>-0,658246759005635+32,6755898873724i</v>
      </c>
      <c r="BF97" s="37">
        <f t="shared" si="147"/>
        <v>30.286230816228649</v>
      </c>
      <c r="BG97" s="60">
        <f t="shared" si="148"/>
        <v>91.154062123229778</v>
      </c>
      <c r="BH97" s="58" t="str">
        <f t="shared" si="149"/>
        <v>-11,3789800023314+51,8537311226899i</v>
      </c>
      <c r="BI97" s="37">
        <f t="shared" si="150"/>
        <v>34.499857747758178</v>
      </c>
      <c r="BJ97" s="60">
        <f t="shared" si="151"/>
        <v>102.37701848182837</v>
      </c>
      <c r="BK97">
        <f t="shared" si="152"/>
        <v>30.286230816228649</v>
      </c>
      <c r="BL97" s="60">
        <f t="shared" si="153"/>
        <v>91.154062123229778</v>
      </c>
      <c r="BN97">
        <f t="shared" si="154"/>
        <v>0</v>
      </c>
      <c r="BO97">
        <f t="shared" si="155"/>
        <v>0</v>
      </c>
    </row>
    <row r="98" spans="13:67" x14ac:dyDescent="0.25">
      <c r="M98" s="66">
        <v>80</v>
      </c>
      <c r="N98" s="36">
        <f t="shared" si="115"/>
        <v>63.095734448019364</v>
      </c>
      <c r="O98" s="91" t="str">
        <f t="shared" si="103"/>
        <v>13,7404580152672</v>
      </c>
      <c r="P98" s="67" t="str">
        <f t="shared" si="104"/>
        <v>1+0,42815756695986i</v>
      </c>
      <c r="Q98" s="67">
        <f t="shared" si="116"/>
        <v>1.0878046249878639</v>
      </c>
      <c r="R98" s="67">
        <f t="shared" si="117"/>
        <v>0.40454209219259357</v>
      </c>
      <c r="S98" s="67" t="str">
        <f t="shared" si="105"/>
        <v>1+0,011893265748885i</v>
      </c>
      <c r="T98" s="67">
        <f t="shared" si="118"/>
        <v>1.0000707223842589</v>
      </c>
      <c r="U98" s="67">
        <f t="shared" si="119"/>
        <v>1.1892705029903441E-2</v>
      </c>
      <c r="V98" t="str">
        <f t="shared" si="106"/>
        <v>1-0,00247776369768437i</v>
      </c>
      <c r="W98" s="67">
        <f t="shared" si="120"/>
        <v>1.0000030696517594</v>
      </c>
      <c r="X98" s="67">
        <f t="shared" si="121"/>
        <v>-2.4777586271141358E-3</v>
      </c>
      <c r="Y98" t="str">
        <f t="shared" si="107"/>
        <v>0,999999745211411+0,00429932982372755i</v>
      </c>
      <c r="Z98" s="67">
        <f t="shared" si="122"/>
        <v>1.0000089872895246</v>
      </c>
      <c r="AA98" s="67">
        <f t="shared" si="123"/>
        <v>4.299304429477839E-3</v>
      </c>
      <c r="AB98" s="92" t="str">
        <f t="shared" si="124"/>
        <v>11,6378316817071-4,91253018519491i</v>
      </c>
      <c r="AC98" s="37">
        <f t="shared" si="125"/>
        <v>22.029569035205352</v>
      </c>
      <c r="AD98" s="60">
        <f t="shared" si="126"/>
        <v>-22.885449823457119</v>
      </c>
      <c r="AE98" t="str">
        <f t="shared" si="127"/>
        <v>21,0353732052265</v>
      </c>
      <c r="AF98" t="str">
        <f t="shared" si="108"/>
        <v>1+0,21407878347993i</v>
      </c>
      <c r="AG98">
        <f t="shared" si="128"/>
        <v>1.0226581665132521</v>
      </c>
      <c r="AH98">
        <f t="shared" si="129"/>
        <v>0.21089547879847412</v>
      </c>
      <c r="AI98" t="str">
        <f t="shared" si="109"/>
        <v>1+0,011893265748885i</v>
      </c>
      <c r="AJ98">
        <f t="shared" si="130"/>
        <v>1.0000707223842589</v>
      </c>
      <c r="AK98">
        <f t="shared" si="131"/>
        <v>1.1892705029903441E-2</v>
      </c>
      <c r="AL98" t="str">
        <f t="shared" si="110"/>
        <v>1-0,000809234235002452i</v>
      </c>
      <c r="AM98">
        <f t="shared" si="132"/>
        <v>1.00000032742997</v>
      </c>
      <c r="AN98">
        <f t="shared" si="133"/>
        <v>-8.0923405835746495E-4</v>
      </c>
      <c r="AO98" s="58" t="str">
        <f t="shared" si="134"/>
        <v>20,1614938408939-4,08299133508365i</v>
      </c>
      <c r="AP98">
        <f t="shared" si="135"/>
        <v>26.265011724932243</v>
      </c>
      <c r="AQ98" s="60">
        <f t="shared" si="136"/>
        <v>-11.448384744517938</v>
      </c>
      <c r="AR98" t="str">
        <f t="shared" si="111"/>
        <v>-1,05811623246493</v>
      </c>
      <c r="AS98" t="str">
        <f t="shared" si="112"/>
        <v>1+0,0117220027221011i</v>
      </c>
      <c r="AT98">
        <f t="shared" si="137"/>
        <v>1.0000687003140418</v>
      </c>
      <c r="AU98">
        <f t="shared" si="138"/>
        <v>1.1721465877739196E-2</v>
      </c>
      <c r="AV98" t="str">
        <f t="shared" si="113"/>
        <v>1+0,0117220027221011i</v>
      </c>
      <c r="AW98">
        <f t="shared" si="139"/>
        <v>1.0000687003140418</v>
      </c>
      <c r="AX98">
        <f t="shared" si="140"/>
        <v>1.1721465877739196E-2</v>
      </c>
      <c r="AY98" t="str">
        <f t="shared" si="114"/>
        <v>1-2,17151847325138i</v>
      </c>
      <c r="AZ98">
        <f t="shared" si="141"/>
        <v>2.3907096184338248</v>
      </c>
      <c r="BA98">
        <f t="shared" si="142"/>
        <v>-1.1392390056058534</v>
      </c>
      <c r="BB98" s="58" t="str">
        <f t="shared" si="143"/>
        <v>-1,03104069422426+2,30980480746904i</v>
      </c>
      <c r="BC98">
        <f t="shared" si="144"/>
        <v>8.0606074118744981</v>
      </c>
      <c r="BD98" s="60">
        <f t="shared" si="145"/>
        <v>114.05482259760291</v>
      </c>
      <c r="BE98" s="58" t="str">
        <f t="shared" si="146"/>
        <v>-0,652092217772399+31,9461380994636i</v>
      </c>
      <c r="BF98" s="37">
        <f t="shared" si="147"/>
        <v>30.090176447079866</v>
      </c>
      <c r="BG98" s="60">
        <f t="shared" si="148"/>
        <v>91.169372774145771</v>
      </c>
      <c r="BH98" s="58" t="str">
        <f t="shared" si="149"/>
        <v>-11,3564075916827+50,7788456200905i</v>
      </c>
      <c r="BI98" s="37">
        <f t="shared" si="150"/>
        <v>34.325619136806743</v>
      </c>
      <c r="BJ98" s="60">
        <f t="shared" si="151"/>
        <v>102.6064378530849</v>
      </c>
      <c r="BK98">
        <f t="shared" si="152"/>
        <v>30.090176447079866</v>
      </c>
      <c r="BL98" s="60">
        <f t="shared" si="153"/>
        <v>91.169372774145771</v>
      </c>
      <c r="BN98">
        <f t="shared" si="154"/>
        <v>0</v>
      </c>
      <c r="BO98">
        <f t="shared" si="155"/>
        <v>0</v>
      </c>
    </row>
    <row r="99" spans="13:67" x14ac:dyDescent="0.25">
      <c r="M99" s="66">
        <v>81</v>
      </c>
      <c r="N99" s="36">
        <f t="shared" si="115"/>
        <v>64.565422903465588</v>
      </c>
      <c r="O99" s="91" t="str">
        <f t="shared" si="103"/>
        <v>13,7404580152672</v>
      </c>
      <c r="P99" s="67" t="str">
        <f t="shared" si="104"/>
        <v>1+0,438130637862002i</v>
      </c>
      <c r="Q99" s="67">
        <f t="shared" si="116"/>
        <v>1.0917684991944787</v>
      </c>
      <c r="R99" s="67">
        <f t="shared" si="117"/>
        <v>0.41293964126776961</v>
      </c>
      <c r="S99" s="67" t="str">
        <f t="shared" si="105"/>
        <v>1+0,0121702954961667i</v>
      </c>
      <c r="T99" s="67">
        <f t="shared" si="118"/>
        <v>1.0000740553041381</v>
      </c>
      <c r="U99" s="67">
        <f t="shared" si="119"/>
        <v>1.2169694677356017E-2</v>
      </c>
      <c r="V99" t="str">
        <f t="shared" si="106"/>
        <v>1-0,00253547822836807i</v>
      </c>
      <c r="W99" s="67">
        <f t="shared" si="120"/>
        <v>1.0000032143197572</v>
      </c>
      <c r="X99" s="67">
        <f t="shared" si="121"/>
        <v>-2.5354727951551188E-3</v>
      </c>
      <c r="Y99" t="str">
        <f t="shared" si="107"/>
        <v>0,999999733203595+0,00439947408012405i</v>
      </c>
      <c r="Z99" s="67">
        <f t="shared" si="122"/>
        <v>1.0000094108454396</v>
      </c>
      <c r="AA99" s="67">
        <f t="shared" si="123"/>
        <v>4.3994468697090691E-3</v>
      </c>
      <c r="AB99" s="92" t="str">
        <f t="shared" si="124"/>
        <v>11,5546964092308-4,99053374939654i</v>
      </c>
      <c r="AC99" s="37">
        <f t="shared" si="125"/>
        <v>21.998002390366072</v>
      </c>
      <c r="AD99" s="60">
        <f t="shared" si="126"/>
        <v>-23.359768123373108</v>
      </c>
      <c r="AE99" t="str">
        <f t="shared" si="127"/>
        <v>21,0353732052265</v>
      </c>
      <c r="AF99" t="str">
        <f t="shared" si="108"/>
        <v>1+0,219065318931001i</v>
      </c>
      <c r="AG99">
        <f t="shared" si="128"/>
        <v>1.0237136386501555</v>
      </c>
      <c r="AH99">
        <f t="shared" si="129"/>
        <v>0.21565859934603687</v>
      </c>
      <c r="AI99" t="str">
        <f t="shared" si="109"/>
        <v>1+0,0121702954961667i</v>
      </c>
      <c r="AJ99">
        <f t="shared" si="130"/>
        <v>1.0000740553041381</v>
      </c>
      <c r="AK99">
        <f t="shared" si="131"/>
        <v>1.2169694677356017E-2</v>
      </c>
      <c r="AL99" t="str">
        <f t="shared" si="110"/>
        <v>1-0,000828083721791686i</v>
      </c>
      <c r="AM99">
        <f t="shared" si="132"/>
        <v>1.0000003428612663</v>
      </c>
      <c r="AN99">
        <f t="shared" si="133"/>
        <v>-8.2808353251317566E-4</v>
      </c>
      <c r="AO99" s="58" t="str">
        <f t="shared" si="134"/>
        <v>20,1221951063797-4,1694874309242i</v>
      </c>
      <c r="AP99">
        <f t="shared" si="135"/>
        <v>26.256080835934164</v>
      </c>
      <c r="AQ99" s="60">
        <f t="shared" si="136"/>
        <v>-11.706501106752645</v>
      </c>
      <c r="AR99" t="str">
        <f t="shared" si="111"/>
        <v>-1,05811623246493</v>
      </c>
      <c r="AS99" t="str">
        <f t="shared" si="112"/>
        <v>1+0,0119950432410219i</v>
      </c>
      <c r="AT99">
        <f t="shared" si="137"/>
        <v>1.0000719379436431</v>
      </c>
      <c r="AU99">
        <f t="shared" si="138"/>
        <v>1.1994468004158999E-2</v>
      </c>
      <c r="AV99" t="str">
        <f t="shared" si="113"/>
        <v>1+0,0119950432410219i</v>
      </c>
      <c r="AW99">
        <f t="shared" si="139"/>
        <v>1.0000719379436431</v>
      </c>
      <c r="AX99">
        <f t="shared" si="140"/>
        <v>1.1994468004158999E-2</v>
      </c>
      <c r="AY99" t="str">
        <f t="shared" si="114"/>
        <v>1-2,12208867805439i</v>
      </c>
      <c r="AZ99">
        <f t="shared" si="141"/>
        <v>2.3459028874884464</v>
      </c>
      <c r="BA99">
        <f t="shared" si="142"/>
        <v>-1.13042531958421</v>
      </c>
      <c r="BB99" s="58" t="str">
        <f t="shared" si="143"/>
        <v>-1,03103401845956+2,25778377461379i</v>
      </c>
      <c r="BC99">
        <f t="shared" si="144"/>
        <v>7.8962433119764128</v>
      </c>
      <c r="BD99" s="60">
        <f t="shared" si="145"/>
        <v>114.5441677389544</v>
      </c>
      <c r="BE99" s="58" t="str">
        <f t="shared" si="146"/>
        <v>-0,645738944839453+31,2334161392479i</v>
      </c>
      <c r="BF99" s="37">
        <f t="shared" si="147"/>
        <v>29.894245702342491</v>
      </c>
      <c r="BG99" s="60">
        <f t="shared" si="148"/>
        <v>91.184399615581285</v>
      </c>
      <c r="BH99" s="58" t="str">
        <f t="shared" si="149"/>
        <v>-11,3328666107612+49,7304490016195i</v>
      </c>
      <c r="BI99" s="37">
        <f t="shared" si="150"/>
        <v>34.152324147910576</v>
      </c>
      <c r="BJ99" s="60">
        <f t="shared" si="151"/>
        <v>102.83766663220179</v>
      </c>
      <c r="BK99">
        <f t="shared" si="152"/>
        <v>29.894245702342491</v>
      </c>
      <c r="BL99" s="60">
        <f t="shared" si="153"/>
        <v>91.184399615581285</v>
      </c>
      <c r="BN99">
        <f t="shared" si="154"/>
        <v>0</v>
      </c>
      <c r="BO99">
        <f t="shared" si="155"/>
        <v>0</v>
      </c>
    </row>
    <row r="100" spans="13:67" x14ac:dyDescent="0.25">
      <c r="M100" s="66">
        <v>82</v>
      </c>
      <c r="N100" s="36">
        <f t="shared" si="115"/>
        <v>66.069344800759623</v>
      </c>
      <c r="O100" s="91" t="str">
        <f t="shared" si="103"/>
        <v>13,7404580152672</v>
      </c>
      <c r="P100" s="67" t="str">
        <f t="shared" si="104"/>
        <v>1+0,448336011427684i</v>
      </c>
      <c r="Q100" s="67">
        <f t="shared" si="116"/>
        <v>1.0959038183813781</v>
      </c>
      <c r="R100" s="67">
        <f t="shared" si="117"/>
        <v>0.42146929052634668</v>
      </c>
      <c r="S100" s="67" t="str">
        <f t="shared" si="105"/>
        <v>1+0,0124537780952135i</v>
      </c>
      <c r="T100" s="67">
        <f t="shared" si="118"/>
        <v>1.0000775452877866</v>
      </c>
      <c r="U100" s="67">
        <f t="shared" si="119"/>
        <v>1.2453134308954937E-2</v>
      </c>
      <c r="V100" t="str">
        <f t="shared" si="106"/>
        <v>1-0,00259453710316947i</v>
      </c>
      <c r="W100" s="67">
        <f t="shared" si="120"/>
        <v>1.0000033658057255</v>
      </c>
      <c r="X100" s="67">
        <f t="shared" si="121"/>
        <v>-2.5945312813779619E-3</v>
      </c>
      <c r="Y100" t="str">
        <f t="shared" si="107"/>
        <v>0,999999720629867+0,00450195099591176i</v>
      </c>
      <c r="Z100" s="67">
        <f t="shared" si="122"/>
        <v>1.0000098543627365</v>
      </c>
      <c r="AA100" s="67">
        <f t="shared" si="123"/>
        <v>4.5019218394423228E-3</v>
      </c>
      <c r="AB100" s="92" t="str">
        <f t="shared" si="124"/>
        <v>11,4689250539265-5,06832398311972i</v>
      </c>
      <c r="AC100" s="37">
        <f t="shared" si="125"/>
        <v>21.965192551806144</v>
      </c>
      <c r="AD100" s="60">
        <f t="shared" si="126"/>
        <v>-23.841496317255604</v>
      </c>
      <c r="AE100" t="str">
        <f t="shared" si="127"/>
        <v>21,0353732052265</v>
      </c>
      <c r="AF100" t="str">
        <f t="shared" si="108"/>
        <v>1+0,224168005713842i</v>
      </c>
      <c r="AG100">
        <f t="shared" si="128"/>
        <v>1.0248176885601268</v>
      </c>
      <c r="AH100">
        <f t="shared" si="129"/>
        <v>0.22052239724891928</v>
      </c>
      <c r="AI100" t="str">
        <f t="shared" si="109"/>
        <v>1+0,0124537780952135i</v>
      </c>
      <c r="AJ100">
        <f t="shared" si="130"/>
        <v>1.0000775452877866</v>
      </c>
      <c r="AK100">
        <f t="shared" si="131"/>
        <v>1.2453134308954937E-2</v>
      </c>
      <c r="AL100" t="str">
        <f t="shared" si="110"/>
        <v>1-0,000847372269531199i</v>
      </c>
      <c r="AM100">
        <f t="shared" si="132"/>
        <v>1.0000003590198172</v>
      </c>
      <c r="AN100">
        <f t="shared" si="133"/>
        <v>-8.4737206671562509E-4</v>
      </c>
      <c r="AO100" s="58" t="str">
        <f t="shared" si="134"/>
        <v>20,0812175249911-4,25742140676856i</v>
      </c>
      <c r="AP100">
        <f t="shared" si="135"/>
        <v>26.246748817548099</v>
      </c>
      <c r="AQ100" s="60">
        <f t="shared" si="136"/>
        <v>-11.970041455957812</v>
      </c>
      <c r="AR100" t="str">
        <f t="shared" si="111"/>
        <v>-1,05811623246493</v>
      </c>
      <c r="AS100" t="str">
        <f t="shared" si="112"/>
        <v>1+0,0122744436906424i</v>
      </c>
      <c r="AT100">
        <f t="shared" si="137"/>
        <v>1.0000753281467925</v>
      </c>
      <c r="AU100">
        <f t="shared" si="138"/>
        <v>1.2273827315746163E-2</v>
      </c>
      <c r="AV100" t="str">
        <f t="shared" si="113"/>
        <v>1+0,0122744436906424i</v>
      </c>
      <c r="AW100">
        <f t="shared" si="139"/>
        <v>1.0000753281467925</v>
      </c>
      <c r="AX100">
        <f t="shared" si="140"/>
        <v>1.2273827315746163E-2</v>
      </c>
      <c r="AY100" t="str">
        <f t="shared" si="114"/>
        <v>1-2,07378404236366i</v>
      </c>
      <c r="AZ100">
        <f t="shared" si="141"/>
        <v>2.3022989063894728</v>
      </c>
      <c r="BA100">
        <f t="shared" si="142"/>
        <v>-1.1214815034174586</v>
      </c>
      <c r="BB100" s="58" t="str">
        <f t="shared" si="143"/>
        <v>-1,03102702816842+2,20695984105251i</v>
      </c>
      <c r="BC100">
        <f t="shared" si="144"/>
        <v>7.7332474149524817</v>
      </c>
      <c r="BD100" s="60">
        <f t="shared" si="145"/>
        <v>115.04060454852855</v>
      </c>
      <c r="BE100" s="58" t="str">
        <f t="shared" si="146"/>
        <v>-0,639184222447652+30,5370360281674i</v>
      </c>
      <c r="BF100" s="37">
        <f t="shared" si="147"/>
        <v>29.69843996675862</v>
      </c>
      <c r="BG100" s="60">
        <f t="shared" si="148"/>
        <v>91.199108231272959</v>
      </c>
      <c r="BH100" s="58" t="str">
        <f t="shared" si="149"/>
        <v>-11,3083199556197+48,7079571777764i</v>
      </c>
      <c r="BI100" s="37">
        <f t="shared" si="150"/>
        <v>33.979996232500575</v>
      </c>
      <c r="BJ100" s="60">
        <f t="shared" si="151"/>
        <v>103.07056309257079</v>
      </c>
      <c r="BK100">
        <f t="shared" si="152"/>
        <v>29.69843996675862</v>
      </c>
      <c r="BL100" s="60">
        <f t="shared" si="153"/>
        <v>91.199108231272959</v>
      </c>
      <c r="BN100">
        <f t="shared" si="154"/>
        <v>0</v>
      </c>
      <c r="BO100">
        <f t="shared" si="155"/>
        <v>0</v>
      </c>
    </row>
    <row r="101" spans="13:67" x14ac:dyDescent="0.25">
      <c r="M101" s="66">
        <v>83</v>
      </c>
      <c r="N101" s="36">
        <f t="shared" si="115"/>
        <v>67.60829753919819</v>
      </c>
      <c r="O101" s="91" t="str">
        <f t="shared" si="103"/>
        <v>13,7404580152672</v>
      </c>
      <c r="P101" s="67" t="str">
        <f t="shared" si="104"/>
        <v>1+0,458779098681053i</v>
      </c>
      <c r="Q101" s="67">
        <f t="shared" si="116"/>
        <v>1.1002173700622071</v>
      </c>
      <c r="R101" s="67">
        <f t="shared" si="117"/>
        <v>0.4301305968646732</v>
      </c>
      <c r="S101" s="67" t="str">
        <f t="shared" si="105"/>
        <v>1+0,0127438638522515i</v>
      </c>
      <c r="T101" s="67">
        <f t="shared" si="118"/>
        <v>1.0000811997362438</v>
      </c>
      <c r="U101" s="67">
        <f t="shared" si="119"/>
        <v>1.2743174025871974E-2</v>
      </c>
      <c r="V101" t="str">
        <f t="shared" si="106"/>
        <v>1-0,00265497163588573i</v>
      </c>
      <c r="W101" s="67">
        <f t="shared" si="120"/>
        <v>1.0000035244309828</v>
      </c>
      <c r="X101" s="67">
        <f t="shared" si="121"/>
        <v>-2.6549653977249251E-3</v>
      </c>
      <c r="Y101" t="str">
        <f t="shared" si="107"/>
        <v>0,999999707463559+0,00460681490570787i</v>
      </c>
      <c r="Z101" s="67">
        <f t="shared" si="122"/>
        <v>1.000010318782151</v>
      </c>
      <c r="AA101" s="67">
        <f t="shared" si="123"/>
        <v>4.606783664005399E-3</v>
      </c>
      <c r="AB101" s="92" t="str">
        <f t="shared" si="124"/>
        <v>11,3804855241526-5,14580637495586i</v>
      </c>
      <c r="AC101" s="37">
        <f t="shared" si="125"/>
        <v>21.931100492845488</v>
      </c>
      <c r="AD101" s="60">
        <f t="shared" si="126"/>
        <v>-24.330605323625949</v>
      </c>
      <c r="AE101" t="str">
        <f t="shared" si="127"/>
        <v>21,0353732052265</v>
      </c>
      <c r="AF101" t="str">
        <f t="shared" si="108"/>
        <v>1+0,229389549340527i</v>
      </c>
      <c r="AG101">
        <f t="shared" si="128"/>
        <v>1.0259724973636721</v>
      </c>
      <c r="AH101">
        <f t="shared" si="129"/>
        <v>0.22548853045264447</v>
      </c>
      <c r="AI101" t="str">
        <f t="shared" si="109"/>
        <v>1+0,0127438638522515i</v>
      </c>
      <c r="AJ101">
        <f t="shared" si="130"/>
        <v>1.0000811997362438</v>
      </c>
      <c r="AK101">
        <f t="shared" si="131"/>
        <v>1.2743174025871974E-2</v>
      </c>
      <c r="AL101" t="str">
        <f t="shared" si="110"/>
        <v>1-0,000867110105264314i</v>
      </c>
      <c r="AM101">
        <f t="shared" si="132"/>
        <v>1.0000003759398968</v>
      </c>
      <c r="AN101">
        <f t="shared" si="133"/>
        <v>-8.6710988794351561E-4</v>
      </c>
      <c r="AO101" s="58" t="str">
        <f t="shared" si="134"/>
        <v>20,0384974641977-4,34678995523915i</v>
      </c>
      <c r="AP101">
        <f t="shared" si="135"/>
        <v>26.23699857922135</v>
      </c>
      <c r="AQ101" s="60">
        <f t="shared" si="136"/>
        <v>-12.239092771213683</v>
      </c>
      <c r="AR101" t="str">
        <f t="shared" si="111"/>
        <v>-1,05811623246493</v>
      </c>
      <c r="AS101" t="str">
        <f t="shared" si="112"/>
        <v>1+0,0125603522127791i</v>
      </c>
      <c r="AT101">
        <f t="shared" si="137"/>
        <v>1.0000788781129761</v>
      </c>
      <c r="AU101">
        <f t="shared" si="138"/>
        <v>1.2559691757991893E-2</v>
      </c>
      <c r="AV101" t="str">
        <f t="shared" si="113"/>
        <v>1+0,0125603522127791i</v>
      </c>
      <c r="AW101">
        <f t="shared" si="139"/>
        <v>1.0000788781129761</v>
      </c>
      <c r="AX101">
        <f t="shared" si="140"/>
        <v>1.2559691757991893E-2</v>
      </c>
      <c r="AY101" t="str">
        <f t="shared" si="114"/>
        <v>1-2,02657895442197i</v>
      </c>
      <c r="AZ101">
        <f t="shared" si="141"/>
        <v>2.2598721774706743</v>
      </c>
      <c r="BA101">
        <f t="shared" si="142"/>
        <v>-1.1124085394328189</v>
      </c>
      <c r="BB101" s="58" t="str">
        <f t="shared" si="143"/>
        <v>-1,0310197085366+2,15730605872323i</v>
      </c>
      <c r="BC101">
        <f t="shared" si="144"/>
        <v>7.5716599455821729</v>
      </c>
      <c r="BD101" s="60">
        <f t="shared" si="145"/>
        <v>115.544068266469</v>
      </c>
      <c r="BE101" s="58" t="str">
        <f t="shared" si="146"/>
        <v>-0,632425598407911+29,8566181613592i</v>
      </c>
      <c r="BF101" s="37">
        <f t="shared" si="147"/>
        <v>29.502760438427664</v>
      </c>
      <c r="BG101" s="60">
        <f t="shared" si="148"/>
        <v>91.213462942843037</v>
      </c>
      <c r="BH101" s="58" t="str">
        <f t="shared" si="149"/>
        <v>-11,2827295086138+47,7107980999443i</v>
      </c>
      <c r="BI101" s="37">
        <f t="shared" si="150"/>
        <v>33.808658524803533</v>
      </c>
      <c r="BJ101" s="60">
        <f t="shared" si="151"/>
        <v>103.30497549525528</v>
      </c>
      <c r="BK101">
        <f t="shared" si="152"/>
        <v>29.502760438427664</v>
      </c>
      <c r="BL101" s="60">
        <f t="shared" si="153"/>
        <v>91.213462942843037</v>
      </c>
      <c r="BN101">
        <f t="shared" si="154"/>
        <v>0</v>
      </c>
      <c r="BO101">
        <f t="shared" si="155"/>
        <v>0</v>
      </c>
    </row>
    <row r="102" spans="13:67" x14ac:dyDescent="0.25">
      <c r="M102" s="66">
        <v>84</v>
      </c>
      <c r="N102" s="36">
        <f t="shared" si="115"/>
        <v>69.183097091893657</v>
      </c>
      <c r="O102" s="91" t="str">
        <f t="shared" si="103"/>
        <v>13,7404580152672</v>
      </c>
      <c r="P102" s="67" t="str">
        <f t="shared" si="104"/>
        <v>1+0,469465436685202i</v>
      </c>
      <c r="Q102" s="67">
        <f t="shared" si="116"/>
        <v>1.1047161609400069</v>
      </c>
      <c r="R102" s="67">
        <f t="shared" si="117"/>
        <v>0.4389229535396641</v>
      </c>
      <c r="S102" s="67" t="str">
        <f t="shared" si="105"/>
        <v>1+0,013040706574589i</v>
      </c>
      <c r="T102" s="67">
        <f t="shared" si="118"/>
        <v>1.000085026399238</v>
      </c>
      <c r="U102" s="67">
        <f t="shared" si="119"/>
        <v>1.3039967415700113E-2</v>
      </c>
      <c r="V102" t="str">
        <f t="shared" si="106"/>
        <v>1-0,00271681386970603i</v>
      </c>
      <c r="W102" s="67">
        <f t="shared" si="120"/>
        <v>1.0000036905319913</v>
      </c>
      <c r="X102" s="67">
        <f t="shared" si="121"/>
        <v>-2.7168071853976312E-3</v>
      </c>
      <c r="Y102" t="str">
        <f t="shared" si="107"/>
        <v>0,999999693676741+0,00471412140974539i</v>
      </c>
      <c r="Z102" s="67">
        <f t="shared" si="122"/>
        <v>1.0000108050887457</v>
      </c>
      <c r="AA102" s="67">
        <f t="shared" si="123"/>
        <v>4.7140879336775975E-3</v>
      </c>
      <c r="AB102" s="92" t="str">
        <f t="shared" si="124"/>
        <v>11,2893495333085-5,22288258559263i</v>
      </c>
      <c r="AC102" s="37">
        <f t="shared" si="125"/>
        <v>21.895686744318148</v>
      </c>
      <c r="AD102" s="60">
        <f t="shared" si="126"/>
        <v>-24.827056599659088</v>
      </c>
      <c r="AE102" t="str">
        <f t="shared" si="127"/>
        <v>21,0353732052265</v>
      </c>
      <c r="AF102" t="str">
        <f t="shared" si="108"/>
        <v>1+0,234732718342601i</v>
      </c>
      <c r="AG102">
        <f t="shared" si="128"/>
        <v>1.0271803391131018</v>
      </c>
      <c r="AH102">
        <f t="shared" si="129"/>
        <v>0.23055865180753721</v>
      </c>
      <c r="AI102" t="str">
        <f t="shared" si="109"/>
        <v>1+0,013040706574589i</v>
      </c>
      <c r="AJ102">
        <f t="shared" si="130"/>
        <v>1.000085026399238</v>
      </c>
      <c r="AK102">
        <f t="shared" si="131"/>
        <v>1.3039967415700113E-2</v>
      </c>
      <c r="AL102" t="str">
        <f t="shared" si="110"/>
        <v>1-0,000887307694252799i</v>
      </c>
      <c r="AM102">
        <f t="shared" si="132"/>
        <v>1.0000003936573947</v>
      </c>
      <c r="AN102">
        <f t="shared" si="133"/>
        <v>-8.8730746138937304E-4</v>
      </c>
      <c r="AO102" s="58" t="str">
        <f t="shared" si="134"/>
        <v>19,9939696177433-4,4375875576724i</v>
      </c>
      <c r="AP102">
        <f t="shared" si="135"/>
        <v>26.226812386849105</v>
      </c>
      <c r="AQ102" s="60">
        <f t="shared" si="136"/>
        <v>-12.513741553558503</v>
      </c>
      <c r="AR102" t="str">
        <f t="shared" si="111"/>
        <v>-1,05811623246493</v>
      </c>
      <c r="AS102" t="str">
        <f t="shared" si="112"/>
        <v>1+0,0128529203999149i</v>
      </c>
      <c r="AT102">
        <f t="shared" si="137"/>
        <v>1.0000825953704056</v>
      </c>
      <c r="AU102">
        <f t="shared" si="138"/>
        <v>1.2852212713016795E-2</v>
      </c>
      <c r="AV102" t="str">
        <f t="shared" si="113"/>
        <v>1+0,0128529203999149i</v>
      </c>
      <c r="AW102">
        <f t="shared" si="139"/>
        <v>1.0000825953704056</v>
      </c>
      <c r="AX102">
        <f t="shared" si="140"/>
        <v>1.2852212713016795E-2</v>
      </c>
      <c r="AY102" t="str">
        <f t="shared" si="114"/>
        <v>1-1,98044838546686i</v>
      </c>
      <c r="AZ102">
        <f t="shared" si="141"/>
        <v>2.2185977119564271</v>
      </c>
      <c r="BA102">
        <f t="shared" si="142"/>
        <v>-1.1032075929919509</v>
      </c>
      <c r="BB102" s="58" t="str">
        <f t="shared" si="143"/>
        <v>-1,03101204405256+2,10879609995501i</v>
      </c>
      <c r="BC102">
        <f t="shared" si="144"/>
        <v>7.4115213688532045</v>
      </c>
      <c r="BD102" s="60">
        <f t="shared" si="145"/>
        <v>116.05448344891471</v>
      </c>
      <c r="BE102" s="58" t="str">
        <f t="shared" si="146"/>
        <v>-0,625460911339536+29,1917911172883i</v>
      </c>
      <c r="BF102" s="37">
        <f t="shared" si="147"/>
        <v>29.307208113171367</v>
      </c>
      <c r="BG102" s="60">
        <f t="shared" si="148"/>
        <v>91.227426849255636</v>
      </c>
      <c r="BH102" s="58" t="str">
        <f t="shared" si="149"/>
        <v>-11,2560561494859+46,7384113710141i</v>
      </c>
      <c r="BI102" s="37">
        <f t="shared" si="150"/>
        <v>33.63833375570232</v>
      </c>
      <c r="BJ102" s="60">
        <f t="shared" si="151"/>
        <v>103.54074189535625</v>
      </c>
      <c r="BK102">
        <f t="shared" si="152"/>
        <v>29.307208113171367</v>
      </c>
      <c r="BL102" s="60">
        <f t="shared" si="153"/>
        <v>91.227426849255636</v>
      </c>
      <c r="BN102">
        <f t="shared" si="154"/>
        <v>0</v>
      </c>
      <c r="BO102">
        <f t="shared" si="155"/>
        <v>0</v>
      </c>
    </row>
    <row r="103" spans="13:67" x14ac:dyDescent="0.25">
      <c r="M103" s="66">
        <v>85</v>
      </c>
      <c r="N103" s="36">
        <f t="shared" si="115"/>
        <v>70.794578438413865</v>
      </c>
      <c r="O103" s="91" t="str">
        <f t="shared" si="103"/>
        <v>13,7404580152672</v>
      </c>
      <c r="P103" s="67" t="str">
        <f t="shared" si="104"/>
        <v>1+0,480400691477992i</v>
      </c>
      <c r="Q103" s="67">
        <f t="shared" si="116"/>
        <v>1.109407420370232</v>
      </c>
      <c r="R103" s="67">
        <f t="shared" si="117"/>
        <v>0.44784558377136441</v>
      </c>
      <c r="S103" s="67" t="str">
        <f t="shared" si="105"/>
        <v>1+0,0133444636521665i</v>
      </c>
      <c r="T103" s="67">
        <f t="shared" si="118"/>
        <v>1.0000890333916097</v>
      </c>
      <c r="U103" s="67">
        <f t="shared" si="119"/>
        <v>1.3343671632955549E-2</v>
      </c>
      <c r="V103" t="str">
        <f t="shared" si="106"/>
        <v>1-0,00278009659420134i</v>
      </c>
      <c r="W103" s="67">
        <f t="shared" si="120"/>
        <v>1.0000038644610694</v>
      </c>
      <c r="X103" s="67">
        <f t="shared" si="121"/>
        <v>-2.7800894318373436E-3</v>
      </c>
      <c r="Y103" t="str">
        <f t="shared" si="107"/>
        <v>0,999999679240171+0,00482392740335313i</v>
      </c>
      <c r="Z103" s="67">
        <f t="shared" si="122"/>
        <v>1.0000113143140121</v>
      </c>
      <c r="AA103" s="67">
        <f t="shared" si="123"/>
        <v>4.8238915331221387E-3</v>
      </c>
      <c r="AB103" s="92" t="str">
        <f t="shared" si="124"/>
        <v>11,1954929344429-5,29945056744121i</v>
      </c>
      <c r="AC103" s="37">
        <f t="shared" si="125"/>
        <v>21.858911453234633</v>
      </c>
      <c r="AD103" s="60">
        <f t="shared" si="126"/>
        <v>-25.330801772684875</v>
      </c>
      <c r="AE103" t="str">
        <f t="shared" si="127"/>
        <v>21,0353732052265</v>
      </c>
      <c r="AF103" t="str">
        <f t="shared" si="108"/>
        <v>1+0,240200345738996i</v>
      </c>
      <c r="AG103">
        <f t="shared" si="128"/>
        <v>1.0284435843025777</v>
      </c>
      <c r="AH103">
        <f t="shared" si="129"/>
        <v>0.2357344064285484</v>
      </c>
      <c r="AI103" t="str">
        <f t="shared" si="109"/>
        <v>1+0,0133444636521665i</v>
      </c>
      <c r="AJ103">
        <f t="shared" si="130"/>
        <v>1.0000890333916097</v>
      </c>
      <c r="AK103">
        <f t="shared" si="131"/>
        <v>1.3343671632955549E-2</v>
      </c>
      <c r="AL103" t="str">
        <f t="shared" si="110"/>
        <v>1-0,000907975745525684i</v>
      </c>
      <c r="AM103">
        <f t="shared" si="132"/>
        <v>1.0000004122098922</v>
      </c>
      <c r="AN103">
        <f t="shared" si="133"/>
        <v>-9.0797549600803325E-4</v>
      </c>
      <c r="AO103" s="58" t="str">
        <f t="shared" si="134"/>
        <v>19,9475670318869-4,52980633323257i</v>
      </c>
      <c r="AP103">
        <f t="shared" si="135"/>
        <v>26.216171846256572</v>
      </c>
      <c r="AQ103" s="60">
        <f t="shared" si="136"/>
        <v>-12.794073670423247</v>
      </c>
      <c r="AR103" t="str">
        <f t="shared" si="111"/>
        <v>-1,05811623246493</v>
      </c>
      <c r="AS103" t="str">
        <f t="shared" si="112"/>
        <v>1+0,0131523033755753i</v>
      </c>
      <c r="AT103">
        <f t="shared" si="137"/>
        <v>1.0000864878019715</v>
      </c>
      <c r="AU103">
        <f t="shared" si="138"/>
        <v>1.315154507894367E-2</v>
      </c>
      <c r="AV103" t="str">
        <f t="shared" si="113"/>
        <v>1+0,0131523033755753i</v>
      </c>
      <c r="AW103">
        <f t="shared" si="139"/>
        <v>1.0000864878019715</v>
      </c>
      <c r="AX103">
        <f t="shared" si="140"/>
        <v>1.315154507894367E-2</v>
      </c>
      <c r="AY103" t="str">
        <f t="shared" si="114"/>
        <v>1-1,93536787646005i</v>
      </c>
      <c r="AZ103">
        <f t="shared" si="141"/>
        <v>2.1784510132737624</v>
      </c>
      <c r="BA103">
        <f t="shared" si="142"/>
        <v>-1.0938800179991184</v>
      </c>
      <c r="BB103" s="58" t="str">
        <f t="shared" si="143"/>
        <v>-1,03100401847464+2,06140424350598i</v>
      </c>
      <c r="BC103">
        <f t="shared" si="144"/>
        <v>7.2528723156261439</v>
      </c>
      <c r="BD103" s="60">
        <f t="shared" si="145"/>
        <v>116.5717636478564</v>
      </c>
      <c r="BE103" s="58" t="str">
        <f t="shared" si="146"/>
        <v>-0,618288316241587+28,5421914739414i</v>
      </c>
      <c r="BF103" s="37">
        <f t="shared" si="147"/>
        <v>29.111783768860775</v>
      </c>
      <c r="BG103" s="60">
        <f t="shared" si="148"/>
        <v>91.240961875171521</v>
      </c>
      <c r="BH103" s="58" t="str">
        <f t="shared" si="149"/>
        <v>-11,2282597710818+45,7902478596263i</v>
      </c>
      <c r="BI103" s="37">
        <f t="shared" si="150"/>
        <v>33.469044161882714</v>
      </c>
      <c r="BJ103" s="60">
        <f t="shared" si="151"/>
        <v>103.7776899774332</v>
      </c>
      <c r="BK103">
        <f t="shared" si="152"/>
        <v>29.111783768860775</v>
      </c>
      <c r="BL103" s="60">
        <f t="shared" si="153"/>
        <v>91.240961875171521</v>
      </c>
      <c r="BN103">
        <f t="shared" si="154"/>
        <v>0</v>
      </c>
      <c r="BO103">
        <f t="shared" si="155"/>
        <v>0</v>
      </c>
    </row>
    <row r="104" spans="13:67" x14ac:dyDescent="0.25">
      <c r="M104" s="66">
        <v>86</v>
      </c>
      <c r="N104" s="36">
        <f t="shared" si="115"/>
        <v>72.443596007499011</v>
      </c>
      <c r="O104" s="91" t="str">
        <f t="shared" si="103"/>
        <v>13,7404580152672</v>
      </c>
      <c r="P104" s="67" t="str">
        <f t="shared" si="104"/>
        <v>1+0,491590661076257i</v>
      </c>
      <c r="Q104" s="67">
        <f t="shared" si="116"/>
        <v>1.1142986036325233</v>
      </c>
      <c r="R104" s="67">
        <f t="shared" si="117"/>
        <v>0.45689753457239163</v>
      </c>
      <c r="S104" s="67" t="str">
        <f t="shared" si="105"/>
        <v>1+0,0136552961410071i</v>
      </c>
      <c r="T104" s="67">
        <f t="shared" si="118"/>
        <v>1.0000932292105065</v>
      </c>
      <c r="U104" s="67">
        <f t="shared" si="119"/>
        <v>1.3654447481405187E-2</v>
      </c>
      <c r="V104" t="str">
        <f t="shared" si="106"/>
        <v>1-0,00284485336270982i</v>
      </c>
      <c r="W104" s="67">
        <f t="shared" si="120"/>
        <v>1.0000040465871403</v>
      </c>
      <c r="X104" s="67">
        <f t="shared" si="121"/>
        <v>-2.8448456881002039E-3</v>
      </c>
      <c r="Y104" t="str">
        <f t="shared" si="107"/>
        <v>0,999999664123225+0,00493629110712234i</v>
      </c>
      <c r="Z104" s="67">
        <f t="shared" si="122"/>
        <v>1.0000118475380466</v>
      </c>
      <c r="AA104" s="67">
        <f t="shared" si="123"/>
        <v>4.9362526715019429E-3</v>
      </c>
      <c r="AB104" s="92" t="str">
        <f t="shared" si="124"/>
        <v>11,0988960571155-5,37540471272097i</v>
      </c>
      <c r="AC104" s="37">
        <f t="shared" si="125"/>
        <v>21.820734446401424</v>
      </c>
      <c r="AD104" s="60">
        <f t="shared" si="126"/>
        <v>-25.841782284644406</v>
      </c>
      <c r="AE104" t="str">
        <f t="shared" si="127"/>
        <v>21,0353732052265</v>
      </c>
      <c r="AF104" t="str">
        <f t="shared" si="108"/>
        <v>1+0,245795330538129i</v>
      </c>
      <c r="AG104">
        <f t="shared" si="128"/>
        <v>1.0297647034708211</v>
      </c>
      <c r="AH104">
        <f t="shared" si="129"/>
        <v>0.24101742887776606</v>
      </c>
      <c r="AI104" t="str">
        <f t="shared" si="109"/>
        <v>1+0,0136552961410071i</v>
      </c>
      <c r="AJ104">
        <f t="shared" si="130"/>
        <v>1.0000932292105065</v>
      </c>
      <c r="AK104">
        <f t="shared" si="131"/>
        <v>1.3654447481405187E-2</v>
      </c>
      <c r="AL104" t="str">
        <f t="shared" si="110"/>
        <v>1-0,000929125217557324i</v>
      </c>
      <c r="AM104">
        <f t="shared" si="132"/>
        <v>1.0000004316367417</v>
      </c>
      <c r="AN104">
        <f t="shared" si="133"/>
        <v>-9.2912495019435032E-4</v>
      </c>
      <c r="AO104" s="58" t="str">
        <f t="shared" si="134"/>
        <v>19,8992211400857-4,62343588273043i</v>
      </c>
      <c r="AP104">
        <f t="shared" si="135"/>
        <v>26.205057886992492</v>
      </c>
      <c r="AQ104" s="60">
        <f t="shared" si="136"/>
        <v>-13.080174189809394</v>
      </c>
      <c r="AR104" t="str">
        <f t="shared" si="111"/>
        <v>-1,05811623246493</v>
      </c>
      <c r="AS104" t="str">
        <f t="shared" si="112"/>
        <v>1+0,0134586598765766i</v>
      </c>
      <c r="AT104">
        <f t="shared" si="137"/>
        <v>1.0000905636619482</v>
      </c>
      <c r="AU104">
        <f t="shared" si="138"/>
        <v>1.3457847351070579E-2</v>
      </c>
      <c r="AV104" t="str">
        <f t="shared" si="113"/>
        <v>1+0,0134586598765766i</v>
      </c>
      <c r="AW104">
        <f t="shared" si="139"/>
        <v>1.0000905636619482</v>
      </c>
      <c r="AX104">
        <f t="shared" si="140"/>
        <v>1.3457847351070579E-2</v>
      </c>
      <c r="AY104" t="str">
        <f t="shared" si="114"/>
        <v>1-1,89131352511897i</v>
      </c>
      <c r="AZ104">
        <f t="shared" si="141"/>
        <v>2.139408060725664</v>
      </c>
      <c r="BA104">
        <f t="shared" si="142"/>
        <v>-1.0844273620198837</v>
      </c>
      <c r="BB104" s="58" t="str">
        <f t="shared" si="143"/>
        <v>-1,03099561479681+2,01510536092264i</v>
      </c>
      <c r="BC104">
        <f t="shared" si="144"/>
        <v>7.0957535034207506</v>
      </c>
      <c r="BD104" s="60">
        <f t="shared" si="145"/>
        <v>117.09581111320769</v>
      </c>
      <c r="BE104" s="58" t="str">
        <f t="shared" si="146"/>
        <v>-0,610906310238835+27,90746363159i</v>
      </c>
      <c r="BF104" s="37">
        <f t="shared" si="147"/>
        <v>28.916487949822169</v>
      </c>
      <c r="BG104" s="60">
        <f t="shared" si="148"/>
        <v>91.254028828563307</v>
      </c>
      <c r="BH104" s="58" t="str">
        <f t="shared" si="149"/>
        <v>-11,1992993001281+44,8657693179611i</v>
      </c>
      <c r="BI104" s="37">
        <f t="shared" si="150"/>
        <v>33.300811390413244</v>
      </c>
      <c r="BJ104" s="60">
        <f t="shared" si="151"/>
        <v>104.01563692339825</v>
      </c>
      <c r="BK104">
        <f t="shared" si="152"/>
        <v>28.916487949822169</v>
      </c>
      <c r="BL104" s="60">
        <f t="shared" si="153"/>
        <v>91.254028828563307</v>
      </c>
      <c r="BN104">
        <f t="shared" si="154"/>
        <v>0</v>
      </c>
      <c r="BO104">
        <f t="shared" si="155"/>
        <v>0</v>
      </c>
    </row>
    <row r="105" spans="13:67" x14ac:dyDescent="0.25">
      <c r="M105" s="66">
        <v>87</v>
      </c>
      <c r="N105" s="36">
        <f t="shared" si="115"/>
        <v>74.131024130091816</v>
      </c>
      <c r="O105" s="91" t="str">
        <f t="shared" si="103"/>
        <v>13,7404580152672</v>
      </c>
      <c r="P105" s="67" t="str">
        <f t="shared" si="104"/>
        <v>1+0,503041278549997i</v>
      </c>
      <c r="Q105" s="67">
        <f t="shared" si="116"/>
        <v>1.1193973949966185</v>
      </c>
      <c r="R105" s="67">
        <f t="shared" si="117"/>
        <v>0.46607767085364393</v>
      </c>
      <c r="S105" s="67" t="str">
        <f t="shared" si="105"/>
        <v>1+0,0139733688486111i</v>
      </c>
      <c r="T105" s="67">
        <f t="shared" si="118"/>
        <v>1.0000976227533886</v>
      </c>
      <c r="U105" s="67">
        <f t="shared" si="119"/>
        <v>1.3972459498258111E-2</v>
      </c>
      <c r="V105" t="str">
        <f t="shared" si="106"/>
        <v>1-0,0029111185101273i</v>
      </c>
      <c r="W105" s="67">
        <f t="shared" si="120"/>
        <v>1.0000042372965128</v>
      </c>
      <c r="X105" s="67">
        <f t="shared" si="121"/>
        <v>-2.9111102866368178E-3</v>
      </c>
      <c r="Y105" t="str">
        <f t="shared" si="107"/>
        <v>0,999999648293841+0,0050512720977761i</v>
      </c>
      <c r="Z105" s="67">
        <f t="shared" si="122"/>
        <v>1.0000124058918527</v>
      </c>
      <c r="AA105" s="67">
        <f t="shared" si="123"/>
        <v>5.0512309132944204E-3</v>
      </c>
      <c r="AB105" s="92" t="str">
        <f t="shared" si="124"/>
        <v>10,999544044145-5,45063603126965i</v>
      </c>
      <c r="AC105" s="37">
        <f t="shared" si="125"/>
        <v>21.78111529901205</v>
      </c>
      <c r="AD105" s="60">
        <f t="shared" si="126"/>
        <v>-26.359929052332927</v>
      </c>
      <c r="AE105" t="str">
        <f t="shared" si="127"/>
        <v>21,0353732052265</v>
      </c>
      <c r="AF105" t="str">
        <f t="shared" si="108"/>
        <v>1+0,251520639274999i</v>
      </c>
      <c r="AG105">
        <f t="shared" si="128"/>
        <v>1.0311462708953101</v>
      </c>
      <c r="AH105">
        <f t="shared" si="129"/>
        <v>0.24640934016364133</v>
      </c>
      <c r="AI105" t="str">
        <f t="shared" si="109"/>
        <v>1+0,0139733688486111i</v>
      </c>
      <c r="AJ105">
        <f t="shared" si="130"/>
        <v>1.0000976227533886</v>
      </c>
      <c r="AK105">
        <f t="shared" si="131"/>
        <v>1.3972459498258111E-2</v>
      </c>
      <c r="AL105" t="str">
        <f t="shared" si="110"/>
        <v>1-0,000950767324077742i</v>
      </c>
      <c r="AM105">
        <f t="shared" si="132"/>
        <v>1.0000004519791501</v>
      </c>
      <c r="AN105">
        <f t="shared" si="133"/>
        <v>-9.5076703759316126E-4</v>
      </c>
      <c r="AO105" s="58" t="str">
        <f t="shared" si="134"/>
        <v>19,8488618068556-4,71846312736992i</v>
      </c>
      <c r="AP105">
        <f t="shared" si="135"/>
        <v>26.193450746522643</v>
      </c>
      <c r="AQ105" s="60">
        <f t="shared" si="136"/>
        <v>-13.372127203866665</v>
      </c>
      <c r="AR105" t="str">
        <f t="shared" si="111"/>
        <v>-1,05811623246493</v>
      </c>
      <c r="AS105" t="str">
        <f t="shared" si="112"/>
        <v>1+0,013772152337191i</v>
      </c>
      <c r="AT105">
        <f t="shared" si="137"/>
        <v>1.0000948315934839</v>
      </c>
      <c r="AU105">
        <f t="shared" si="138"/>
        <v>1.3771281704883998E-2</v>
      </c>
      <c r="AV105" t="str">
        <f t="shared" si="113"/>
        <v>1+0,013772152337191i</v>
      </c>
      <c r="AW105">
        <f t="shared" si="139"/>
        <v>1.0000948315934839</v>
      </c>
      <c r="AX105">
        <f t="shared" si="140"/>
        <v>1.3771281704883998E-2</v>
      </c>
      <c r="AY105" t="str">
        <f t="shared" si="114"/>
        <v>1-1,8482619732434i</v>
      </c>
      <c r="AZ105">
        <f t="shared" si="141"/>
        <v>2.101445293539089</v>
      </c>
      <c r="BA105">
        <f t="shared" si="142"/>
        <v>-1.0748513709558267</v>
      </c>
      <c r="BB105" s="58" t="str">
        <f t="shared" si="143"/>
        <v>-1,03098681521267+1,96987490321324i</v>
      </c>
      <c r="BC105">
        <f t="shared" si="144"/>
        <v>6.9402056524339129</v>
      </c>
      <c r="BD105" s="60">
        <f t="shared" si="145"/>
        <v>117.62651652020527</v>
      </c>
      <c r="BE105" s="58" t="str">
        <f t="shared" si="146"/>
        <v>-0,603313758316645+27,287259642112i</v>
      </c>
      <c r="BF105" s="37">
        <f t="shared" si="147"/>
        <v>28.721320951445954</v>
      </c>
      <c r="BG105" s="60">
        <f t="shared" si="148"/>
        <v>91.266587467872341</v>
      </c>
      <c r="BH105" s="58" t="str">
        <f t="shared" si="149"/>
        <v>-11,1691327235034+43,9644480030582i</v>
      </c>
      <c r="BI105" s="37">
        <f t="shared" si="150"/>
        <v>33.13365639895656</v>
      </c>
      <c r="BJ105" s="60">
        <f t="shared" si="151"/>
        <v>104.2543893163386</v>
      </c>
      <c r="BK105">
        <f t="shared" si="152"/>
        <v>28.721320951445954</v>
      </c>
      <c r="BL105" s="60">
        <f t="shared" si="153"/>
        <v>91.266587467872341</v>
      </c>
      <c r="BN105">
        <f t="shared" si="154"/>
        <v>0</v>
      </c>
      <c r="BO105">
        <f t="shared" si="155"/>
        <v>0</v>
      </c>
    </row>
    <row r="106" spans="13:67" x14ac:dyDescent="0.25">
      <c r="M106" s="66">
        <v>88</v>
      </c>
      <c r="N106" s="36">
        <f t="shared" si="115"/>
        <v>75.857757502918361</v>
      </c>
      <c r="O106" s="91" t="str">
        <f t="shared" si="103"/>
        <v>13,7404580152672</v>
      </c>
      <c r="P106" s="67" t="str">
        <f t="shared" si="104"/>
        <v>1+0,514758615168163i</v>
      </c>
      <c r="Q106" s="67">
        <f t="shared" si="116"/>
        <v>1.1247117105684661</v>
      </c>
      <c r="R106" s="67">
        <f t="shared" si="117"/>
        <v>0.47538466985763345</v>
      </c>
      <c r="S106" s="67" t="str">
        <f t="shared" si="105"/>
        <v>1+0,0142988504213379i</v>
      </c>
      <c r="T106" s="67">
        <f t="shared" si="118"/>
        <v>1.0001022233368806</v>
      </c>
      <c r="U106" s="67">
        <f t="shared" si="119"/>
        <v>1.4297876040258376E-2</v>
      </c>
      <c r="V106" t="str">
        <f t="shared" si="106"/>
        <v>1-0,00297892717111206i</v>
      </c>
      <c r="W106" s="67">
        <f t="shared" si="120"/>
        <v>1.000004436993702</v>
      </c>
      <c r="X106" s="67">
        <f t="shared" si="121"/>
        <v>-2.9789183594853635E-3</v>
      </c>
      <c r="Y106" t="str">
        <f t="shared" si="107"/>
        <v>0,99999963171844+0,00516893133975759i</v>
      </c>
      <c r="Z106" s="67">
        <f t="shared" si="122"/>
        <v>1.0000129905597281</v>
      </c>
      <c r="AA106" s="67">
        <f t="shared" si="123"/>
        <v>5.1688872098213526E-3</v>
      </c>
      <c r="AB106" s="92" t="str">
        <f t="shared" si="124"/>
        <v>10,8974271856568-5,52503235916632i</v>
      </c>
      <c r="AC106" s="37">
        <f t="shared" si="125"/>
        <v>21.740013408191668</v>
      </c>
      <c r="AD106" s="60">
        <f t="shared" si="126"/>
        <v>-26.885162146368831</v>
      </c>
      <c r="AE106" t="str">
        <f t="shared" si="127"/>
        <v>21,0353732052265</v>
      </c>
      <c r="AF106" t="str">
        <f t="shared" si="108"/>
        <v>1+0,257379307584082i</v>
      </c>
      <c r="AG106">
        <f t="shared" si="128"/>
        <v>1.0325909683763757</v>
      </c>
      <c r="AH106">
        <f t="shared" si="129"/>
        <v>0.25191174455121529</v>
      </c>
      <c r="AI106" t="str">
        <f t="shared" si="109"/>
        <v>1+0,0142988504213379i</v>
      </c>
      <c r="AJ106">
        <f t="shared" si="130"/>
        <v>1.0001022233368806</v>
      </c>
      <c r="AK106">
        <f t="shared" si="131"/>
        <v>1.4297876040258376E-2</v>
      </c>
      <c r="AL106" t="str">
        <f t="shared" si="110"/>
        <v>1-0,000972913540018278i</v>
      </c>
      <c r="AM106">
        <f t="shared" si="132"/>
        <v>1.0000004732802663</v>
      </c>
      <c r="AN106">
        <f t="shared" si="133"/>
        <v>-9.7291323304452687E-4</v>
      </c>
      <c r="AO106" s="58" t="str">
        <f t="shared" si="134"/>
        <v>19,7964173815754-4,8148721427075i</v>
      </c>
      <c r="AP106">
        <f t="shared" si="135"/>
        <v>26.181329954920397</v>
      </c>
      <c r="AQ106" s="60">
        <f t="shared" si="136"/>
        <v>-13.670015641540173</v>
      </c>
      <c r="AR106" t="str">
        <f t="shared" si="111"/>
        <v>-1,05811623246493</v>
      </c>
      <c r="AS106" t="str">
        <f t="shared" si="112"/>
        <v>1+0,0140929469752706i</v>
      </c>
      <c r="AT106">
        <f t="shared" si="137"/>
        <v>1.0000993006469148</v>
      </c>
      <c r="AU106">
        <f t="shared" si="138"/>
        <v>1.4092014080948565E-2</v>
      </c>
      <c r="AV106" t="str">
        <f t="shared" si="113"/>
        <v>1+0,0140929469752706i</v>
      </c>
      <c r="AW106">
        <f t="shared" si="139"/>
        <v>1.0000993006469148</v>
      </c>
      <c r="AX106">
        <f t="shared" si="140"/>
        <v>1.4092014080948565E-2</v>
      </c>
      <c r="AY106" t="str">
        <f t="shared" si="114"/>
        <v>1-1,80619039433068i</v>
      </c>
      <c r="AZ106">
        <f t="shared" si="141"/>
        <v>2.0645395953026471</v>
      </c>
      <c r="BA106">
        <f t="shared" si="142"/>
        <v>-1.0651539932201086</v>
      </c>
      <c r="BB106" s="58" t="str">
        <f t="shared" si="143"/>
        <v>-1,0309776010779+1,92568888782821i</v>
      </c>
      <c r="BC106">
        <f t="shared" si="144"/>
        <v>6.7862693969458423</v>
      </c>
      <c r="BD106" s="60">
        <f t="shared" si="145"/>
        <v>118.16375872530421</v>
      </c>
      <c r="BE106" s="58" t="str">
        <f t="shared" si="146"/>
        <v>-0,595509918851677+26,6812390448674i</v>
      </c>
      <c r="BF106" s="37">
        <f t="shared" si="147"/>
        <v>28.526282805137512</v>
      </c>
      <c r="BG106" s="60">
        <f t="shared" si="148"/>
        <v>91.27859657893535</v>
      </c>
      <c r="BH106" s="58" t="str">
        <f t="shared" si="149"/>
        <v>-11,137717120468+43,0857663016944i</v>
      </c>
      <c r="BI106" s="37">
        <f t="shared" si="150"/>
        <v>32.967599351866248</v>
      </c>
      <c r="BJ106" s="60">
        <f t="shared" si="151"/>
        <v>104.49374308376399</v>
      </c>
      <c r="BK106">
        <f t="shared" si="152"/>
        <v>28.526282805137512</v>
      </c>
      <c r="BL106" s="60">
        <f t="shared" si="153"/>
        <v>91.27859657893535</v>
      </c>
      <c r="BN106">
        <f t="shared" si="154"/>
        <v>0</v>
      </c>
      <c r="BO106">
        <f t="shared" si="155"/>
        <v>0</v>
      </c>
    </row>
    <row r="107" spans="13:67" x14ac:dyDescent="0.25">
      <c r="M107" s="66">
        <v>89</v>
      </c>
      <c r="N107" s="36">
        <f t="shared" si="115"/>
        <v>77.624711662869217</v>
      </c>
      <c r="O107" s="91" t="str">
        <f t="shared" si="103"/>
        <v>13,7404580152672</v>
      </c>
      <c r="P107" s="67" t="str">
        <f t="shared" si="104"/>
        <v>1+0,526748883617727i</v>
      </c>
      <c r="Q107" s="67">
        <f t="shared" si="116"/>
        <v>1.1302497009035313</v>
      </c>
      <c r="R107" s="67">
        <f t="shared" si="117"/>
        <v>0.48481701597251048</v>
      </c>
      <c r="S107" s="67" t="str">
        <f t="shared" si="105"/>
        <v>1+0,0146319134338258i</v>
      </c>
      <c r="T107" s="67">
        <f t="shared" si="118"/>
        <v>1.00010704071651</v>
      </c>
      <c r="U107" s="67">
        <f t="shared" si="119"/>
        <v>1.4630869371723606E-2</v>
      </c>
      <c r="V107" t="str">
        <f t="shared" si="106"/>
        <v>1-0,0030483152987137i</v>
      </c>
      <c r="W107" s="67">
        <f t="shared" si="120"/>
        <v>1.0000046461022871</v>
      </c>
      <c r="X107" s="67">
        <f t="shared" si="121"/>
        <v>-3.0483058568879532E-3</v>
      </c>
      <c r="Y107" t="str">
        <f t="shared" si="107"/>
        <v>0,999999614361865+0,00528933121755431i</v>
      </c>
      <c r="Z107" s="67">
        <f t="shared" si="122"/>
        <v>1.0000136027817859</v>
      </c>
      <c r="AA107" s="67">
        <f t="shared" si="123"/>
        <v>5.2892839315104231E-3</v>
      </c>
      <c r="AB107" s="92" t="str">
        <f t="shared" si="124"/>
        <v>10,7925412476222-5,59847859903743i</v>
      </c>
      <c r="AC107" s="37">
        <f t="shared" si="125"/>
        <v>21.697388071433149</v>
      </c>
      <c r="AD107" s="60">
        <f t="shared" si="126"/>
        <v>-27.417390491931105</v>
      </c>
      <c r="AE107" t="str">
        <f t="shared" si="127"/>
        <v>21,0353732052265</v>
      </c>
      <c r="AF107" t="str">
        <f t="shared" si="108"/>
        <v>1+0,263374441808864i</v>
      </c>
      <c r="AG107">
        <f t="shared" si="128"/>
        <v>1.0341015891091796</v>
      </c>
      <c r="AH107">
        <f t="shared" si="129"/>
        <v>0.25752622617802234</v>
      </c>
      <c r="AI107" t="str">
        <f t="shared" si="109"/>
        <v>1+0,0146319134338258i</v>
      </c>
      <c r="AJ107">
        <f t="shared" si="130"/>
        <v>1.00010704071651</v>
      </c>
      <c r="AK107">
        <f t="shared" si="131"/>
        <v>1.4630869371723606E-2</v>
      </c>
      <c r="AL107" t="str">
        <f t="shared" si="110"/>
        <v>1-0,000995575607595766i</v>
      </c>
      <c r="AM107">
        <f t="shared" si="132"/>
        <v>1.0000004955852724</v>
      </c>
      <c r="AN107">
        <f t="shared" si="133"/>
        <v>-9.9557527866747436E-4</v>
      </c>
      <c r="AO107" s="58" t="str">
        <f t="shared" si="134"/>
        <v>19,7418147630206-4,91264398817726i</v>
      </c>
      <c r="AP107">
        <f t="shared" si="135"/>
        <v>26.16867432015728</v>
      </c>
      <c r="AQ107" s="60">
        <f t="shared" si="136"/>
        <v>-13.973921069980401</v>
      </c>
      <c r="AR107" t="str">
        <f t="shared" si="111"/>
        <v>-1,05811623246493</v>
      </c>
      <c r="AS107" t="str">
        <f t="shared" si="112"/>
        <v>1+0,0144212138803787i</v>
      </c>
      <c r="AT107">
        <f t="shared" si="137"/>
        <v>1.0001039802989404</v>
      </c>
      <c r="AU107">
        <f t="shared" si="138"/>
        <v>1.4420214271715918E-2</v>
      </c>
      <c r="AV107" t="str">
        <f t="shared" si="113"/>
        <v>1+0,0144212138803787i</v>
      </c>
      <c r="AW107">
        <f t="shared" si="139"/>
        <v>1.0001039802989404</v>
      </c>
      <c r="AX107">
        <f t="shared" si="140"/>
        <v>1.4420214271715918E-2</v>
      </c>
      <c r="AY107" t="str">
        <f t="shared" si="114"/>
        <v>1-1,7650764814728i</v>
      </c>
      <c r="AZ107">
        <f t="shared" si="141"/>
        <v>2.0286682788096235</v>
      </c>
      <c r="BA107">
        <f t="shared" si="142"/>
        <v>-1.055337383358415</v>
      </c>
      <c r="BB107" s="58" t="str">
        <f t="shared" si="143"/>
        <v>-1,03096795287086+1,88252388594062i</v>
      </c>
      <c r="BC107">
        <f t="shared" si="144"/>
        <v>6.6339851923184305</v>
      </c>
      <c r="BD107" s="60">
        <f t="shared" si="145"/>
        <v>118.70740455373941</v>
      </c>
      <c r="BE107" s="58" t="str">
        <f t="shared" si="146"/>
        <v>-0,587494468720035+26,0890687090891i</v>
      </c>
      <c r="BF107" s="37">
        <f t="shared" si="147"/>
        <v>28.33137326375158</v>
      </c>
      <c r="BG107" s="60">
        <f t="shared" si="148"/>
        <v>91.290014061808321</v>
      </c>
      <c r="BH107" s="58" t="str">
        <f t="shared" si="149"/>
        <v>-11,1050087013208+42,2292163588759i</v>
      </c>
      <c r="BI107" s="37">
        <f t="shared" si="150"/>
        <v>32.802659512475714</v>
      </c>
      <c r="BJ107" s="60">
        <f t="shared" si="151"/>
        <v>104.73348348375904</v>
      </c>
      <c r="BK107">
        <f t="shared" si="152"/>
        <v>28.33137326375158</v>
      </c>
      <c r="BL107" s="60">
        <f t="shared" si="153"/>
        <v>91.290014061808321</v>
      </c>
      <c r="BN107">
        <f t="shared" si="154"/>
        <v>0</v>
      </c>
      <c r="BO107">
        <f t="shared" si="155"/>
        <v>0</v>
      </c>
    </row>
    <row r="108" spans="13:67" x14ac:dyDescent="0.25">
      <c r="M108" s="66">
        <v>90</v>
      </c>
      <c r="N108" s="36">
        <f t="shared" si="115"/>
        <v>79.432823472428197</v>
      </c>
      <c r="O108" s="91" t="str">
        <f t="shared" si="103"/>
        <v>13,7404580152672</v>
      </c>
      <c r="P108" s="67" t="str">
        <f t="shared" si="104"/>
        <v>1+0,539018441297731i</v>
      </c>
      <c r="Q108" s="67">
        <f t="shared" si="116"/>
        <v>1.1360197533753695</v>
      </c>
      <c r="R108" s="67">
        <f t="shared" si="117"/>
        <v>0.49437299598108297</v>
      </c>
      <c r="S108" s="67" t="str">
        <f t="shared" si="105"/>
        <v>1+0,0149727344804925i</v>
      </c>
      <c r="T108" s="67">
        <f t="shared" si="118"/>
        <v>1.0001120851073759</v>
      </c>
      <c r="U108" s="67">
        <f t="shared" si="119"/>
        <v>1.4971615754565614E-2</v>
      </c>
      <c r="V108" t="str">
        <f t="shared" si="106"/>
        <v>1-0,00311931968343594i</v>
      </c>
      <c r="W108" s="67">
        <f t="shared" si="120"/>
        <v>1.0000048650658093</v>
      </c>
      <c r="X108" s="67">
        <f t="shared" si="121"/>
        <v>-3.1193095663400341E-3</v>
      </c>
      <c r="Y108" t="str">
        <f t="shared" si="107"/>
        <v>0,999999596187299+0,00541253556877516i</v>
      </c>
      <c r="Z108" s="67">
        <f t="shared" si="122"/>
        <v>1.0000142438565784</v>
      </c>
      <c r="AA108" s="67">
        <f t="shared" si="123"/>
        <v>5.4124849009052414E-3</v>
      </c>
      <c r="AB108" s="92" t="str">
        <f t="shared" si="124"/>
        <v>10,6848877918864-5,67085699266703i</v>
      </c>
      <c r="AC108" s="37">
        <f t="shared" si="125"/>
        <v>21.653198569823807</v>
      </c>
      <c r="AD108" s="60">
        <f t="shared" si="126"/>
        <v>-27.956511594372227</v>
      </c>
      <c r="AE108" t="str">
        <f t="shared" si="127"/>
        <v>21,0353732052265</v>
      </c>
      <c r="AF108" t="str">
        <f t="shared" si="108"/>
        <v>1+0,269509220648866i</v>
      </c>
      <c r="AG108">
        <f t="shared" si="128"/>
        <v>1.0356810416410831</v>
      </c>
      <c r="AH108">
        <f t="shared" si="129"/>
        <v>0.26325434547078957</v>
      </c>
      <c r="AI108" t="str">
        <f t="shared" si="109"/>
        <v>1+0,0149727344804925i</v>
      </c>
      <c r="AJ108">
        <f t="shared" si="130"/>
        <v>1.0001120851073759</v>
      </c>
      <c r="AK108">
        <f t="shared" si="131"/>
        <v>1.4971615754565614E-2</v>
      </c>
      <c r="AL108" t="str">
        <f t="shared" si="110"/>
        <v>1-0,0010187655425384i</v>
      </c>
      <c r="AM108">
        <f t="shared" si="132"/>
        <v>1.0000005189414807</v>
      </c>
      <c r="AN108">
        <f t="shared" si="133"/>
        <v>-1.0187651900853954E-3</v>
      </c>
      <c r="AO108" s="58" t="str">
        <f t="shared" si="134"/>
        <v>19,6849794754386-5,01175653261038i</v>
      </c>
      <c r="AP108">
        <f t="shared" si="135"/>
        <v>26.155461914106432</v>
      </c>
      <c r="AQ108" s="60">
        <f t="shared" si="136"/>
        <v>-14.283923484433725</v>
      </c>
      <c r="AR108" t="str">
        <f t="shared" si="111"/>
        <v>-1,05811623246493</v>
      </c>
      <c r="AS108" t="str">
        <f t="shared" si="112"/>
        <v>1+0,0147571271039734i</v>
      </c>
      <c r="AT108">
        <f t="shared" si="137"/>
        <v>1.0001088804727027</v>
      </c>
      <c r="AU108">
        <f t="shared" si="138"/>
        <v>1.4756056010291379E-2</v>
      </c>
      <c r="AV108" t="str">
        <f t="shared" si="113"/>
        <v>1+0,0147571271039734i</v>
      </c>
      <c r="AW108">
        <f t="shared" si="139"/>
        <v>1.0001088804727027</v>
      </c>
      <c r="AX108">
        <f t="shared" si="140"/>
        <v>1.4756056010291379E-2</v>
      </c>
      <c r="AY108" t="str">
        <f t="shared" si="114"/>
        <v>1-1,72489843552894i</v>
      </c>
      <c r="AZ108">
        <f t="shared" si="141"/>
        <v>1.9938090713230754</v>
      </c>
      <c r="BA108">
        <f t="shared" si="142"/>
        <v>-1.0454039050601966</v>
      </c>
      <c r="BB108" s="58" t="str">
        <f t="shared" si="143"/>
        <v>-1,03095785015138+1,84035701002005i</v>
      </c>
      <c r="BC108">
        <f t="shared" si="144"/>
        <v>6.4833932178413978</v>
      </c>
      <c r="BD108" s="60">
        <f t="shared" si="145"/>
        <v>119.2573086219076</v>
      </c>
      <c r="BE108" s="58" t="str">
        <f t="shared" si="146"/>
        <v>-0,579267527755942+25,5104226827517i</v>
      </c>
      <c r="BF108" s="37">
        <f t="shared" si="147"/>
        <v>28.136591787665203</v>
      </c>
      <c r="BG108" s="60">
        <f t="shared" si="148"/>
        <v>91.300797027535367</v>
      </c>
      <c r="BH108" s="58" t="str">
        <f t="shared" si="149"/>
        <v>-11,0709628529689+41,3942997100664i</v>
      </c>
      <c r="BI108" s="37">
        <f t="shared" si="150"/>
        <v>32.638855131947835</v>
      </c>
      <c r="BJ108" s="60">
        <f t="shared" si="151"/>
        <v>104.97338513747381</v>
      </c>
      <c r="BK108">
        <f t="shared" si="152"/>
        <v>28.136591787665203</v>
      </c>
      <c r="BL108" s="60">
        <f t="shared" si="153"/>
        <v>91.300797027535367</v>
      </c>
      <c r="BN108">
        <f t="shared" si="154"/>
        <v>0</v>
      </c>
      <c r="BO108">
        <f t="shared" si="155"/>
        <v>0</v>
      </c>
    </row>
    <row r="109" spans="13:67" x14ac:dyDescent="0.25">
      <c r="M109" s="66">
        <v>91</v>
      </c>
      <c r="N109" s="36">
        <f t="shared" si="115"/>
        <v>81.283051616409963</v>
      </c>
      <c r="O109" s="91" t="str">
        <f t="shared" si="103"/>
        <v>13,7404580152672</v>
      </c>
      <c r="P109" s="67" t="str">
        <f t="shared" si="104"/>
        <v>1+0,551573793690063i</v>
      </c>
      <c r="Q109" s="67">
        <f t="shared" si="116"/>
        <v>1.1420304942888557</v>
      </c>
      <c r="R109" s="67">
        <f t="shared" si="117"/>
        <v>0.50405069479996512</v>
      </c>
      <c r="S109" s="67" t="str">
        <f t="shared" si="105"/>
        <v>1+0,0153214942691684i</v>
      </c>
      <c r="T109" s="67">
        <f t="shared" si="118"/>
        <v>1.0001173672057897</v>
      </c>
      <c r="U109" s="67">
        <f t="shared" si="119"/>
        <v>1.5320295540338088E-2</v>
      </c>
      <c r="V109" t="str">
        <f t="shared" si="106"/>
        <v>1-0,00319197797274342i</v>
      </c>
      <c r="W109" s="67">
        <f t="shared" si="120"/>
        <v>1.0000050943487131</v>
      </c>
      <c r="X109" s="67">
        <f t="shared" si="121"/>
        <v>-3.1919671320828264E-3</v>
      </c>
      <c r="Y109" t="str">
        <f t="shared" si="107"/>
        <v>0,999999577156193+0,00553860971799794i</v>
      </c>
      <c r="Z109" s="67">
        <f t="shared" si="122"/>
        <v>1.0000149151438558</v>
      </c>
      <c r="AA109" s="67">
        <f t="shared" si="123"/>
        <v>5.5385554264408892E-3</v>
      </c>
      <c r="AB109" s="92" t="str">
        <f t="shared" si="124"/>
        <v>10,5744744844973-5,74204742624729i</v>
      </c>
      <c r="AC109" s="37">
        <f t="shared" si="125"/>
        <v>21.607404255912904</v>
      </c>
      <c r="AD109" s="60">
        <f t="shared" si="126"/>
        <v>-28.502411292867418</v>
      </c>
      <c r="AE109" t="str">
        <f t="shared" si="127"/>
        <v>21,0353732052265</v>
      </c>
      <c r="AF109" t="str">
        <f t="shared" si="108"/>
        <v>1+0,275786896845032i</v>
      </c>
      <c r="AG109">
        <f t="shared" si="128"/>
        <v>1.0373323539114223</v>
      </c>
      <c r="AH109">
        <f t="shared" si="129"/>
        <v>0.26909763535859105</v>
      </c>
      <c r="AI109" t="str">
        <f t="shared" si="109"/>
        <v>1+0,0153214942691684i</v>
      </c>
      <c r="AJ109">
        <f t="shared" si="130"/>
        <v>1.0001173672057897</v>
      </c>
      <c r="AK109">
        <f t="shared" si="131"/>
        <v>1.5320295540338088E-2</v>
      </c>
      <c r="AL109" t="str">
        <f t="shared" si="110"/>
        <v>1-0,00104249564045665i</v>
      </c>
      <c r="AM109">
        <f t="shared" si="132"/>
        <v>1.0000005433984325</v>
      </c>
      <c r="AN109">
        <f t="shared" si="133"/>
        <v>-1.0424952627964624E-3</v>
      </c>
      <c r="AO109" s="58" t="str">
        <f t="shared" si="134"/>
        <v>19,6258357569895-5,11218427625853i</v>
      </c>
      <c r="AP109">
        <f t="shared" si="135"/>
        <v>26.141670059378225</v>
      </c>
      <c r="AQ109" s="60">
        <f t="shared" si="136"/>
        <v>-14.600101086363793</v>
      </c>
      <c r="AR109" t="str">
        <f t="shared" si="111"/>
        <v>-1,05811623246493</v>
      </c>
      <c r="AS109" t="str">
        <f t="shared" si="112"/>
        <v>1+0,0151008647516924i</v>
      </c>
      <c r="AT109">
        <f t="shared" si="137"/>
        <v>1.0001140115588067</v>
      </c>
      <c r="AU109">
        <f t="shared" si="138"/>
        <v>1.5099717061200578E-2</v>
      </c>
      <c r="AV109" t="str">
        <f t="shared" si="113"/>
        <v>1+0,0151008647516924i</v>
      </c>
      <c r="AW109">
        <f t="shared" si="139"/>
        <v>1.0001140115588067</v>
      </c>
      <c r="AX109">
        <f t="shared" si="140"/>
        <v>1.5099717061200578E-2</v>
      </c>
      <c r="AY109" t="str">
        <f t="shared" si="114"/>
        <v>1-1,68563495356732i</v>
      </c>
      <c r="AZ109">
        <f t="shared" si="141"/>
        <v>1.959940100280593</v>
      </c>
      <c r="BA109">
        <f t="shared" si="142"/>
        <v>-1.035356133506137</v>
      </c>
      <c r="BB109" s="58" t="str">
        <f t="shared" si="143"/>
        <v>-1,0309472715176+1,79916590169316i</v>
      </c>
      <c r="BC109">
        <f t="shared" si="144"/>
        <v>6.334533275732797</v>
      </c>
      <c r="BD109" s="60">
        <f t="shared" si="145"/>
        <v>119.8133131976664</v>
      </c>
      <c r="BE109" s="58" t="str">
        <f t="shared" si="146"/>
        <v>-0,570829682315876+24,9449820478462i</v>
      </c>
      <c r="BF109" s="37">
        <f t="shared" si="147"/>
        <v>27.941937531645703</v>
      </c>
      <c r="BG109" s="60">
        <f t="shared" si="148"/>
        <v>91.310901904798982</v>
      </c>
      <c r="BH109" s="58" t="str">
        <f t="shared" si="149"/>
        <v>-11,0355341919046+40,5805269173098i</v>
      </c>
      <c r="BI109" s="37">
        <f t="shared" si="150"/>
        <v>32.476203335111023</v>
      </c>
      <c r="BJ109" s="60">
        <f t="shared" si="151"/>
        <v>105.21321211130261</v>
      </c>
      <c r="BK109">
        <f t="shared" si="152"/>
        <v>27.941937531645703</v>
      </c>
      <c r="BL109" s="60">
        <f t="shared" si="153"/>
        <v>91.310901904798982</v>
      </c>
      <c r="BN109">
        <f t="shared" si="154"/>
        <v>0</v>
      </c>
      <c r="BO109">
        <f t="shared" si="155"/>
        <v>0</v>
      </c>
    </row>
    <row r="110" spans="13:67" x14ac:dyDescent="0.25">
      <c r="M110" s="66">
        <v>92</v>
      </c>
      <c r="N110" s="36">
        <f t="shared" si="115"/>
        <v>83.176377110267126</v>
      </c>
      <c r="O110" s="91" t="str">
        <f t="shared" si="103"/>
        <v>13,7404580152672</v>
      </c>
      <c r="P110" s="67" t="str">
        <f t="shared" si="104"/>
        <v>1+0,564421597808752i</v>
      </c>
      <c r="Q110" s="67">
        <f t="shared" si="116"/>
        <v>1.1482907907289794</v>
      </c>
      <c r="R110" s="67">
        <f t="shared" si="117"/>
        <v>0.5138479917642973</v>
      </c>
      <c r="S110" s="67" t="str">
        <f t="shared" si="105"/>
        <v>1+0,0156783777169098i</v>
      </c>
      <c r="T110" s="67">
        <f t="shared" si="118"/>
        <v>1.0001228982119319</v>
      </c>
      <c r="U110" s="67">
        <f t="shared" si="119"/>
        <v>1.5677093264350909E-2</v>
      </c>
      <c r="V110" t="str">
        <f t="shared" si="106"/>
        <v>1-0,00326632869102287i</v>
      </c>
      <c r="W110" s="67">
        <f t="shared" si="120"/>
        <v>1.0000053344373308</v>
      </c>
      <c r="X110" s="67">
        <f t="shared" si="121"/>
        <v>-3.2663170750491096E-3</v>
      </c>
      <c r="Y110" t="str">
        <f t="shared" si="107"/>
        <v>0,999999557228179+0,00566762051140538i</v>
      </c>
      <c r="Z110" s="67">
        <f t="shared" si="122"/>
        <v>1.0000156180674458</v>
      </c>
      <c r="AA110" s="67">
        <f t="shared" si="123"/>
        <v>5.6675623370029448E-3</v>
      </c>
      <c r="AB110" s="92" t="str">
        <f t="shared" si="124"/>
        <v>10,4613153889956-5,8119277682893i</v>
      </c>
      <c r="AC110" s="37">
        <f t="shared" si="125"/>
        <v>21.559964646024451</v>
      </c>
      <c r="AD110" s="60">
        <f t="shared" si="126"/>
        <v>-29.054963545276468</v>
      </c>
      <c r="AE110" t="str">
        <f t="shared" si="127"/>
        <v>21,0353732052265</v>
      </c>
      <c r="AF110" t="str">
        <f t="shared" si="108"/>
        <v>1+0,282210798904376i</v>
      </c>
      <c r="AG110">
        <f t="shared" si="128"/>
        <v>1.0390586773701695</v>
      </c>
      <c r="AH110">
        <f t="shared" si="129"/>
        <v>0.27505759727875878</v>
      </c>
      <c r="AI110" t="str">
        <f t="shared" si="109"/>
        <v>1+0,0156783777169098i</v>
      </c>
      <c r="AJ110">
        <f t="shared" si="130"/>
        <v>1.0001228982119319</v>
      </c>
      <c r="AK110">
        <f t="shared" si="131"/>
        <v>1.5677093264350909E-2</v>
      </c>
      <c r="AL110" t="str">
        <f t="shared" si="110"/>
        <v>1-0,00106677848336252i</v>
      </c>
      <c r="AM110">
        <f t="shared" si="132"/>
        <v>1.0000005690080043</v>
      </c>
      <c r="AN110">
        <f t="shared" si="133"/>
        <v>-1.0667780786923504E-3</v>
      </c>
      <c r="AO110" s="58" t="str">
        <f t="shared" si="134"/>
        <v>19,5643066613931-5,21389816991908i</v>
      </c>
      <c r="AP110">
        <f t="shared" si="135"/>
        <v>26.12727531711792</v>
      </c>
      <c r="AQ110" s="60">
        <f t="shared" si="136"/>
        <v>-14.922530049587817</v>
      </c>
      <c r="AR110" t="str">
        <f t="shared" si="111"/>
        <v>-1,05811623246493</v>
      </c>
      <c r="AS110" t="str">
        <f t="shared" si="112"/>
        <v>1+0,0154526090777863i</v>
      </c>
      <c r="AT110">
        <f t="shared" si="137"/>
        <v>1.0001193844373335</v>
      </c>
      <c r="AU110">
        <f t="shared" si="138"/>
        <v>1.5451379313196146E-2</v>
      </c>
      <c r="AV110" t="str">
        <f t="shared" si="113"/>
        <v>1+0,0154526090777863i</v>
      </c>
      <c r="AW110">
        <f t="shared" si="139"/>
        <v>1.0001193844373335</v>
      </c>
      <c r="AX110">
        <f t="shared" si="140"/>
        <v>1.5451379313196146E-2</v>
      </c>
      <c r="AY110" t="str">
        <f t="shared" si="114"/>
        <v>1-1,64726521757011i</v>
      </c>
      <c r="AZ110">
        <f t="shared" si="141"/>
        <v>1.9270398794566506</v>
      </c>
      <c r="BA110">
        <f t="shared" si="142"/>
        <v>-1.0251968569993664</v>
      </c>
      <c r="BB110" s="58" t="str">
        <f t="shared" si="143"/>
        <v>-1,03093619456086+1,7589287198845i</v>
      </c>
      <c r="BC110">
        <f t="shared" si="144"/>
        <v>6.1874446866537625</v>
      </c>
      <c r="BD110" s="60">
        <f t="shared" si="145"/>
        <v>120.37524810155728</v>
      </c>
      <c r="BE110" s="58" t="str">
        <f t="shared" si="146"/>
        <v>-0,562182007693808+24,3924347819768i</v>
      </c>
      <c r="BF110" s="37">
        <f t="shared" si="147"/>
        <v>27.74740933267821</v>
      </c>
      <c r="BG110" s="60">
        <f t="shared" si="148"/>
        <v>91.320284556280825</v>
      </c>
      <c r="BH110" s="58" t="str">
        <f t="shared" si="149"/>
        <v>-10,9986766250944+39,7874172094762i</v>
      </c>
      <c r="BI110" s="37">
        <f t="shared" si="150"/>
        <v>32.31472000377169</v>
      </c>
      <c r="BJ110" s="60">
        <f t="shared" si="151"/>
        <v>105.45271805196948</v>
      </c>
      <c r="BK110">
        <f t="shared" si="152"/>
        <v>27.74740933267821</v>
      </c>
      <c r="BL110" s="60">
        <f t="shared" si="153"/>
        <v>91.320284556280825</v>
      </c>
      <c r="BN110">
        <f t="shared" si="154"/>
        <v>0</v>
      </c>
      <c r="BO110">
        <f t="shared" si="155"/>
        <v>0</v>
      </c>
    </row>
    <row r="111" spans="13:67" x14ac:dyDescent="0.25">
      <c r="M111" s="66">
        <v>93</v>
      </c>
      <c r="N111" s="36">
        <f t="shared" si="115"/>
        <v>85.113803820237734</v>
      </c>
      <c r="O111" s="91" t="str">
        <f t="shared" si="103"/>
        <v>13,7404580152672</v>
      </c>
      <c r="P111" s="67" t="str">
        <f t="shared" si="104"/>
        <v>1+0,577568665729603i</v>
      </c>
      <c r="Q111" s="67">
        <f t="shared" si="116"/>
        <v>1.1548097521378462</v>
      </c>
      <c r="R111" s="67">
        <f t="shared" si="117"/>
        <v>0.5237625575132111</v>
      </c>
      <c r="S111" s="67" t="str">
        <f t="shared" si="105"/>
        <v>1+0,0160435740480445i</v>
      </c>
      <c r="T111" s="67">
        <f t="shared" si="118"/>
        <v>1.0001286898535784</v>
      </c>
      <c r="U111" s="67">
        <f t="shared" si="119"/>
        <v>1.6042197741895515E-2</v>
      </c>
      <c r="V111" t="str">
        <f t="shared" si="106"/>
        <v>1-0,00334241126000927i</v>
      </c>
      <c r="W111" s="67">
        <f t="shared" si="120"/>
        <v>1.0000055858409147</v>
      </c>
      <c r="X111" s="67">
        <f t="shared" si="121"/>
        <v>-3.3423988132728912E-3</v>
      </c>
      <c r="Y111" t="str">
        <f t="shared" si="107"/>
        <v>0,999999536360986+0,0057996363522278i</v>
      </c>
      <c r="Z111" s="67">
        <f t="shared" si="122"/>
        <v>1.0000163541182738</v>
      </c>
      <c r="AA111" s="67">
        <f t="shared" si="123"/>
        <v>5.7995740172875664E-3</v>
      </c>
      <c r="AB111" s="92" t="str">
        <f t="shared" si="124"/>
        <v>10,3454312412019-5,88037423986409i</v>
      </c>
      <c r="AC111" s="37">
        <f t="shared" si="125"/>
        <v>21.510839516768556</v>
      </c>
      <c r="AD111" s="60">
        <f t="shared" si="126"/>
        <v>-29.614030247374636</v>
      </c>
      <c r="AE111" t="str">
        <f t="shared" si="127"/>
        <v>21,0353732052265</v>
      </c>
      <c r="AF111" t="str">
        <f t="shared" si="108"/>
        <v>1+0,288784332864802i</v>
      </c>
      <c r="AG111">
        <f t="shared" si="128"/>
        <v>1.0408632911714049</v>
      </c>
      <c r="AH111">
        <f t="shared" si="129"/>
        <v>0.28113569697259327</v>
      </c>
      <c r="AI111" t="str">
        <f t="shared" si="109"/>
        <v>1+0,0160435740480445i</v>
      </c>
      <c r="AJ111">
        <f t="shared" si="130"/>
        <v>1.0001286898535784</v>
      </c>
      <c r="AK111">
        <f t="shared" si="131"/>
        <v>1.6042197741895515E-2</v>
      </c>
      <c r="AL111" t="str">
        <f t="shared" si="110"/>
        <v>1-0,00109162694634076i</v>
      </c>
      <c r="AM111">
        <f t="shared" si="132"/>
        <v>1.0000005958245175</v>
      </c>
      <c r="AN111">
        <f t="shared" si="133"/>
        <v>-1.091626512728875E-3</v>
      </c>
      <c r="AO111" s="58" t="str">
        <f t="shared" si="134"/>
        <v>19,5003141736214-5,31686543185415i</v>
      </c>
      <c r="AP111">
        <f t="shared" si="135"/>
        <v>26.112253475901138</v>
      </c>
      <c r="AQ111" s="60">
        <f t="shared" si="136"/>
        <v>-15.251284274257452</v>
      </c>
      <c r="AR111" t="str">
        <f t="shared" si="111"/>
        <v>-1,05811623246493</v>
      </c>
      <c r="AS111" t="str">
        <f t="shared" si="112"/>
        <v>1+0,0158125465817527i</v>
      </c>
      <c r="AT111">
        <f t="shared" si="137"/>
        <v>1.0001250105008874</v>
      </c>
      <c r="AU111">
        <f t="shared" si="138"/>
        <v>1.5811228874148972E-2</v>
      </c>
      <c r="AV111" t="str">
        <f t="shared" si="113"/>
        <v>1+0,0158125465817527i</v>
      </c>
      <c r="AW111">
        <f t="shared" si="139"/>
        <v>1.0001250105008874</v>
      </c>
      <c r="AX111">
        <f t="shared" si="140"/>
        <v>1.5811228874148972E-2</v>
      </c>
      <c r="AY111" t="str">
        <f t="shared" si="114"/>
        <v>1-1,60976888339538i</v>
      </c>
      <c r="AZ111">
        <f t="shared" si="141"/>
        <v>1.8950872956009199</v>
      </c>
      <c r="BA111">
        <f t="shared" si="142"/>
        <v>-1.0149290778303124</v>
      </c>
      <c r="BB111" s="58" t="str">
        <f t="shared" si="143"/>
        <v>-1,03092459581835+1,71962412923125i</v>
      </c>
      <c r="BC111">
        <f t="shared" si="144"/>
        <v>6.0421661821499084</v>
      </c>
      <c r="BD111" s="60">
        <f t="shared" si="145"/>
        <v>120.94293065181419</v>
      </c>
      <c r="BE111" s="58" t="str">
        <f t="shared" si="146"/>
        <v>-0,553326089122441+23,8524756261661i</v>
      </c>
      <c r="BF111" s="37">
        <f t="shared" si="147"/>
        <v>27.553005698918458</v>
      </c>
      <c r="BG111" s="60">
        <f t="shared" si="148"/>
        <v>91.328900404439551</v>
      </c>
      <c r="BH111" s="58" t="str">
        <f t="shared" si="149"/>
        <v>-10,9603434192796+39,0144981269043i</v>
      </c>
      <c r="BI111" s="37">
        <f t="shared" si="150"/>
        <v>32.154419658051047</v>
      </c>
      <c r="BJ111" s="60">
        <f t="shared" si="151"/>
        <v>105.69164637755679</v>
      </c>
      <c r="BK111">
        <f t="shared" si="152"/>
        <v>27.553005698918458</v>
      </c>
      <c r="BL111" s="60">
        <f t="shared" si="153"/>
        <v>91.328900404439551</v>
      </c>
      <c r="BN111">
        <f t="shared" si="154"/>
        <v>0</v>
      </c>
      <c r="BO111">
        <f t="shared" si="155"/>
        <v>0</v>
      </c>
    </row>
    <row r="112" spans="13:67" x14ac:dyDescent="0.25">
      <c r="M112" s="66">
        <v>94</v>
      </c>
      <c r="N112" s="36">
        <f t="shared" si="115"/>
        <v>87.096358995608071</v>
      </c>
      <c r="O112" s="91" t="str">
        <f t="shared" si="103"/>
        <v>13,7404580152672</v>
      </c>
      <c r="P112" s="67" t="str">
        <f t="shared" si="104"/>
        <v>1+0,591021968202046i</v>
      </c>
      <c r="Q112" s="67">
        <f t="shared" si="116"/>
        <v>1.1615967316144704</v>
      </c>
      <c r="R112" s="67">
        <f t="shared" si="117"/>
        <v>0.53379185153034647</v>
      </c>
      <c r="S112" s="67" t="str">
        <f t="shared" si="105"/>
        <v>1+0,0164172768945013i</v>
      </c>
      <c r="T112" s="67">
        <f t="shared" si="118"/>
        <v>1.0001347544109398</v>
      </c>
      <c r="U112" s="67">
        <f t="shared" si="119"/>
        <v>1.6415802166624142E-2</v>
      </c>
      <c r="V112" t="str">
        <f t="shared" si="106"/>
        <v>1-0,00342026601968777i</v>
      </c>
      <c r="W112" s="67">
        <f t="shared" si="120"/>
        <v>1.0000058490927168</v>
      </c>
      <c r="X112" s="67">
        <f t="shared" si="121"/>
        <v>-3.4202526827736661E-3</v>
      </c>
      <c r="Y112" t="str">
        <f t="shared" si="107"/>
        <v>0,999999514510352+0,00593472723701141i</v>
      </c>
      <c r="Z112" s="67">
        <f t="shared" si="122"/>
        <v>1.0000171248575283</v>
      </c>
      <c r="AA112" s="67">
        <f t="shared" si="123"/>
        <v>5.9346604439813253E-3</v>
      </c>
      <c r="AB112" s="92" t="str">
        <f t="shared" si="124"/>
        <v>10,2268497019475-5,94726181646807i</v>
      </c>
      <c r="AC112" s="37">
        <f t="shared" si="125"/>
        <v>21.459989005452375</v>
      </c>
      <c r="AD112" s="60">
        <f t="shared" si="126"/>
        <v>-30.179461089568065</v>
      </c>
      <c r="AE112" t="str">
        <f t="shared" si="127"/>
        <v>21,0353732052265</v>
      </c>
      <c r="AF112" t="str">
        <f t="shared" si="108"/>
        <v>1+0,295510984101024i</v>
      </c>
      <c r="AG112">
        <f t="shared" si="128"/>
        <v>1.0427496064369219</v>
      </c>
      <c r="AH112">
        <f t="shared" si="129"/>
        <v>0.28733336006876653</v>
      </c>
      <c r="AI112" t="str">
        <f t="shared" si="109"/>
        <v>1+0,0164172768945013i</v>
      </c>
      <c r="AJ112">
        <f t="shared" si="130"/>
        <v>1.0001347544109398</v>
      </c>
      <c r="AK112">
        <f t="shared" si="131"/>
        <v>1.6415802166624142E-2</v>
      </c>
      <c r="AL112" t="str">
        <f t="shared" si="110"/>
        <v>1-0,00111705420437534i</v>
      </c>
      <c r="AM112">
        <f t="shared" si="132"/>
        <v>1.0000006239048531</v>
      </c>
      <c r="AN112">
        <f t="shared" si="133"/>
        <v>-1.1170537397518501E-3</v>
      </c>
      <c r="AO112" s="58" t="str">
        <f t="shared" si="134"/>
        <v>19,4337793404789-5,4210493632972i</v>
      </c>
      <c r="AP112">
        <f t="shared" si="135"/>
        <v>26.096579541873727</v>
      </c>
      <c r="AQ112" s="60">
        <f t="shared" si="136"/>
        <v>-15.586435128560966</v>
      </c>
      <c r="AR112" t="str">
        <f t="shared" si="111"/>
        <v>-1,05811623246493</v>
      </c>
      <c r="AS112" t="str">
        <f t="shared" si="112"/>
        <v>1+0,0161808681072205i</v>
      </c>
      <c r="AT112">
        <f t="shared" si="137"/>
        <v>1.0001309016787268</v>
      </c>
      <c r="AU112">
        <f t="shared" si="138"/>
        <v>1.6179456168065227E-2</v>
      </c>
      <c r="AV112" t="str">
        <f t="shared" si="113"/>
        <v>1+0,0161808681072205i</v>
      </c>
      <c r="AW112">
        <f t="shared" si="139"/>
        <v>1.0001309016787268</v>
      </c>
      <c r="AX112">
        <f t="shared" si="140"/>
        <v>1.6179456168065227E-2</v>
      </c>
      <c r="AY112" t="str">
        <f t="shared" si="114"/>
        <v>1-1,57312606999044i</v>
      </c>
      <c r="AZ112">
        <f t="shared" si="141"/>
        <v>1.8640615955712316</v>
      </c>
      <c r="BA112">
        <f t="shared" si="142"/>
        <v>-1.0045560123282267</v>
      </c>
      <c r="BB112" s="58" t="str">
        <f t="shared" si="143"/>
        <v>-1,03091245072368+1,6812312887659i</v>
      </c>
      <c r="BC112">
        <f t="shared" si="144"/>
        <v>5.8987357944858747</v>
      </c>
      <c r="BD112" s="60">
        <f t="shared" si="145"/>
        <v>121.51616565585371</v>
      </c>
      <c r="BE112" s="58" t="str">
        <f t="shared" si="146"/>
        <v>-0,544264041088594+23,3248059587308i</v>
      </c>
      <c r="BF112" s="37">
        <f t="shared" si="147"/>
        <v>27.358724799938244</v>
      </c>
      <c r="BG112" s="60">
        <f t="shared" si="148"/>
        <v>91.336704566285647</v>
      </c>
      <c r="BH112" s="58" t="str">
        <f t="shared" si="149"/>
        <v>-10,9204872791966+38,2613051707962i</v>
      </c>
      <c r="BI112" s="37">
        <f t="shared" si="150"/>
        <v>31.995315336359592</v>
      </c>
      <c r="BJ112" s="60">
        <f t="shared" si="151"/>
        <v>105.92973052729273</v>
      </c>
      <c r="BK112">
        <f t="shared" si="152"/>
        <v>27.358724799938244</v>
      </c>
      <c r="BL112" s="60">
        <f t="shared" si="153"/>
        <v>91.336704566285647</v>
      </c>
      <c r="BN112">
        <f t="shared" si="154"/>
        <v>0</v>
      </c>
      <c r="BO112">
        <f t="shared" si="155"/>
        <v>0</v>
      </c>
    </row>
    <row r="113" spans="13:67" x14ac:dyDescent="0.25">
      <c r="M113" s="66">
        <v>95</v>
      </c>
      <c r="N113" s="36">
        <f t="shared" si="115"/>
        <v>89.125093813374562</v>
      </c>
      <c r="O113" s="91" t="str">
        <f t="shared" si="103"/>
        <v>13,7404580152672</v>
      </c>
      <c r="P113" s="67" t="str">
        <f t="shared" si="104"/>
        <v>1+0,604788638345133i</v>
      </c>
      <c r="Q113" s="67">
        <f t="shared" si="116"/>
        <v>1.1686613269340951</v>
      </c>
      <c r="R113" s="67">
        <f t="shared" si="117"/>
        <v>0.54393312039220398</v>
      </c>
      <c r="S113" s="67" t="str">
        <f t="shared" si="105"/>
        <v>1+0,0167996843984759i</v>
      </c>
      <c r="T113" s="67">
        <f t="shared" si="118"/>
        <v>1.00014110474267</v>
      </c>
      <c r="U113" s="67">
        <f t="shared" si="119"/>
        <v>1.6798104211126163E-2</v>
      </c>
      <c r="V113" t="str">
        <f t="shared" si="106"/>
        <v>1-0,00349993424968248i</v>
      </c>
      <c r="W113" s="67">
        <f t="shared" si="120"/>
        <v>1.0000061247511198</v>
      </c>
      <c r="X113" s="67">
        <f t="shared" si="121"/>
        <v>-3.4999199589262728E-3</v>
      </c>
      <c r="Y113" t="str">
        <f t="shared" si="107"/>
        <v>0,99999949162993+0,00607296479273149i</v>
      </c>
      <c r="Z113" s="67">
        <f t="shared" si="122"/>
        <v>1.0000179319199691</v>
      </c>
      <c r="AA113" s="67">
        <f t="shared" si="123"/>
        <v>6.0728932227795953E-3</v>
      </c>
      <c r="AB113" s="92" t="str">
        <f t="shared" si="124"/>
        <v>10,1056055841515-6,01246466040448i</v>
      </c>
      <c r="AC113" s="37">
        <f t="shared" si="125"/>
        <v>21.407373714039828</v>
      </c>
      <c r="AD113" s="60">
        <f t="shared" si="126"/>
        <v>-30.751093454115068</v>
      </c>
      <c r="AE113" t="str">
        <f t="shared" si="127"/>
        <v>21,0353732052265</v>
      </c>
      <c r="AF113" t="str">
        <f t="shared" si="108"/>
        <v>1+0,302394319172567i</v>
      </c>
      <c r="AG113">
        <f t="shared" si="128"/>
        <v>1.0447211705846877</v>
      </c>
      <c r="AH113">
        <f t="shared" si="129"/>
        <v>0.29365196745331706</v>
      </c>
      <c r="AI113" t="str">
        <f t="shared" si="109"/>
        <v>1+0,0167996843984759i</v>
      </c>
      <c r="AJ113">
        <f t="shared" si="130"/>
        <v>1.00014110474267</v>
      </c>
      <c r="AK113">
        <f t="shared" si="131"/>
        <v>1.6798104211126163E-2</v>
      </c>
      <c r="AL113" t="str">
        <f t="shared" si="110"/>
        <v>1-0,00114307373933504i</v>
      </c>
      <c r="AM113">
        <f t="shared" si="132"/>
        <v>1.0000006533085732</v>
      </c>
      <c r="AN113">
        <f t="shared" si="133"/>
        <v>-1.1430732414820183E-3</v>
      </c>
      <c r="AO113" s="58" t="str">
        <f t="shared" si="134"/>
        <v>19,3646224168976-5,52640916344763i</v>
      </c>
      <c r="AP113">
        <f t="shared" si="135"/>
        <v>26.080227730289408</v>
      </c>
      <c r="AQ113" s="60">
        <f t="shared" si="136"/>
        <v>-15.928051178080892</v>
      </c>
      <c r="AR113" t="str">
        <f t="shared" si="111"/>
        <v>-1,05811623246493</v>
      </c>
      <c r="AS113" t="str">
        <f t="shared" si="112"/>
        <v>1+0,0165577689431379i</v>
      </c>
      <c r="AT113">
        <f t="shared" si="137"/>
        <v>1.0001370704620314</v>
      </c>
      <c r="AU113">
        <f t="shared" si="138"/>
        <v>1.6556256034273631E-2</v>
      </c>
      <c r="AV113" t="str">
        <f t="shared" si="113"/>
        <v>1+0,0165577689431379i</v>
      </c>
      <c r="AW113">
        <f t="shared" si="139"/>
        <v>1.0001370704620314</v>
      </c>
      <c r="AX113">
        <f t="shared" si="140"/>
        <v>1.6556256034273631E-2</v>
      </c>
      <c r="AY113" t="str">
        <f t="shared" si="114"/>
        <v>1-1,5373173488506i</v>
      </c>
      <c r="AZ113">
        <f t="shared" si="141"/>
        <v>1.8339423739793563</v>
      </c>
      <c r="BA113">
        <f t="shared" si="142"/>
        <v>-0.99408109005615208</v>
      </c>
      <c r="BB113" s="58" t="str">
        <f t="shared" si="143"/>
        <v>-1,03089973355502+1,64372984086052i</v>
      </c>
      <c r="BC113">
        <f t="shared" si="144"/>
        <v>5.7571907443878487</v>
      </c>
      <c r="BD113" s="60">
        <f t="shared" si="145"/>
        <v>122.09474545071625</v>
      </c>
      <c r="BE113" s="58" t="str">
        <f t="shared" si="146"/>
        <v>-0,534998524687746+22,8091336750565i</v>
      </c>
      <c r="BF113" s="37">
        <f t="shared" si="147"/>
        <v>27.164564458427684</v>
      </c>
      <c r="BG113" s="60">
        <f t="shared" si="148"/>
        <v>91.343651996601182</v>
      </c>
      <c r="BH113" s="58" t="str">
        <f t="shared" si="149"/>
        <v>-10,8790604352094+37,5273814577653i</v>
      </c>
      <c r="BI113" s="37">
        <f t="shared" si="150"/>
        <v>31.83741847467725</v>
      </c>
      <c r="BJ113" s="60">
        <f t="shared" si="151"/>
        <v>106.16669427263534</v>
      </c>
      <c r="BK113">
        <f t="shared" si="152"/>
        <v>27.164564458427684</v>
      </c>
      <c r="BL113" s="60">
        <f t="shared" si="153"/>
        <v>91.343651996601182</v>
      </c>
      <c r="BN113">
        <f t="shared" si="154"/>
        <v>0</v>
      </c>
      <c r="BO113">
        <f t="shared" si="155"/>
        <v>0</v>
      </c>
    </row>
    <row r="114" spans="13:67" x14ac:dyDescent="0.25">
      <c r="M114" s="66">
        <v>96</v>
      </c>
      <c r="N114" s="36">
        <f t="shared" si="115"/>
        <v>91.201083935590972</v>
      </c>
      <c r="O114" s="91" t="str">
        <f t="shared" si="103"/>
        <v>13,7404580152672</v>
      </c>
      <c r="P114" s="67" t="str">
        <f t="shared" si="104"/>
        <v>1+0,618875975429594i</v>
      </c>
      <c r="Q114" s="67">
        <f t="shared" si="116"/>
        <v>1.1760133812860853</v>
      </c>
      <c r="R114" s="67">
        <f t="shared" si="117"/>
        <v>0.55418339677483119</v>
      </c>
      <c r="S114" s="67" t="str">
        <f t="shared" si="105"/>
        <v>1+0,0171909993174887i</v>
      </c>
      <c r="T114" s="67">
        <f t="shared" si="118"/>
        <v>1.0001477543130983</v>
      </c>
      <c r="U114" s="67">
        <f t="shared" si="119"/>
        <v>1.7189306129747103E-2</v>
      </c>
      <c r="V114" t="str">
        <f t="shared" si="106"/>
        <v>1-0,00358145819114348i</v>
      </c>
      <c r="W114" s="67">
        <f t="shared" si="120"/>
        <v>1.0000064134008215</v>
      </c>
      <c r="X114" s="67">
        <f t="shared" si="121"/>
        <v>-3.5814428783276214E-3</v>
      </c>
      <c r="Y114" t="str">
        <f t="shared" si="107"/>
        <v>0,999999467671187+0,00621442231476988i</v>
      </c>
      <c r="Z114" s="67">
        <f t="shared" si="122"/>
        <v>1.0000187770173936</v>
      </c>
      <c r="AA114" s="67">
        <f t="shared" si="123"/>
        <v>6.2143456262625024E-3</v>
      </c>
      <c r="AB114" s="92" t="str">
        <f t="shared" si="124"/>
        <v>9,98174105064906-6,07585658215051i</v>
      </c>
      <c r="AC114" s="37">
        <f t="shared" si="125"/>
        <v>21.35295481625695</v>
      </c>
      <c r="AD114" s="60">
        <f t="shared" si="126"/>
        <v>-31.328752355744651</v>
      </c>
      <c r="AE114" t="str">
        <f t="shared" si="127"/>
        <v>21,0353732052265</v>
      </c>
      <c r="AF114" t="str">
        <f t="shared" si="108"/>
        <v>1+0,309437987714797i</v>
      </c>
      <c r="AG114">
        <f t="shared" si="128"/>
        <v>1.0467816717162097</v>
      </c>
      <c r="AH114">
        <f t="shared" si="129"/>
        <v>0.30009285042618994</v>
      </c>
      <c r="AI114" t="str">
        <f t="shared" si="109"/>
        <v>1+0,0171909993174887i</v>
      </c>
      <c r="AJ114">
        <f t="shared" si="130"/>
        <v>1.0001477543130983</v>
      </c>
      <c r="AK114">
        <f t="shared" si="131"/>
        <v>1.7189306129747103E-2</v>
      </c>
      <c r="AL114" t="str">
        <f t="shared" si="110"/>
        <v>1-0,0011696993471217i</v>
      </c>
      <c r="AM114">
        <f t="shared" si="132"/>
        <v>1.0000006840980473</v>
      </c>
      <c r="AN114">
        <f t="shared" si="133"/>
        <v>-1.1696988136625959E-3</v>
      </c>
      <c r="AO114" s="58" t="str">
        <f t="shared" si="134"/>
        <v>19,2927630287542-5,63289974496656i</v>
      </c>
      <c r="AP114">
        <f t="shared" si="135"/>
        <v>26.063171458607293</v>
      </c>
      <c r="AQ114" s="60">
        <f t="shared" si="136"/>
        <v>-16.276197902802782</v>
      </c>
      <c r="AR114" t="str">
        <f t="shared" si="111"/>
        <v>-1,05811623246493</v>
      </c>
      <c r="AS114" t="str">
        <f t="shared" si="112"/>
        <v>1+0,0169434489273169i</v>
      </c>
      <c r="AT114">
        <f t="shared" si="137"/>
        <v>1.0001435299303558</v>
      </c>
      <c r="AU114">
        <f t="shared" si="138"/>
        <v>1.6941827828826379E-2</v>
      </c>
      <c r="AV114" t="str">
        <f t="shared" si="113"/>
        <v>1+0,0169434489273169i</v>
      </c>
      <c r="AW114">
        <f t="shared" si="139"/>
        <v>1.0001435299303558</v>
      </c>
      <c r="AX114">
        <f t="shared" si="140"/>
        <v>1.6941827828826379E-2</v>
      </c>
      <c r="AY114" t="str">
        <f t="shared" si="114"/>
        <v>1-1,50232373371791i</v>
      </c>
      <c r="AZ114">
        <f t="shared" si="141"/>
        <v>1.8047095613677349</v>
      </c>
      <c r="BA114">
        <f t="shared" si="142"/>
        <v>-0.98350795211078801</v>
      </c>
      <c r="BB114" s="58" t="str">
        <f t="shared" si="143"/>
        <v>-1,03088641738095+1,607099900427i</v>
      </c>
      <c r="BC114">
        <f t="shared" si="144"/>
        <v>5.6175673272612059</v>
      </c>
      <c r="BD114" s="60">
        <f t="shared" si="145"/>
        <v>122.67844999466816</v>
      </c>
      <c r="BE114" s="58" t="str">
        <f t="shared" si="146"/>
        <v>-0,525532762745152+22,3051730730798i</v>
      </c>
      <c r="BF114" s="37">
        <f t="shared" si="147"/>
        <v>26.970522143518156</v>
      </c>
      <c r="BG114" s="60">
        <f t="shared" si="148"/>
        <v>91.349697638923502</v>
      </c>
      <c r="BH114" s="58" t="str">
        <f t="shared" si="149"/>
        <v>-10,836014740841+36,8122773800272i</v>
      </c>
      <c r="BI114" s="37">
        <f t="shared" si="150"/>
        <v>31.680738785868492</v>
      </c>
      <c r="BJ114" s="60">
        <f t="shared" si="151"/>
        <v>106.40225209186534</v>
      </c>
      <c r="BK114">
        <f t="shared" si="152"/>
        <v>26.970522143518156</v>
      </c>
      <c r="BL114" s="60">
        <f t="shared" si="153"/>
        <v>91.349697638923502</v>
      </c>
      <c r="BN114">
        <f t="shared" si="154"/>
        <v>0</v>
      </c>
      <c r="BO114">
        <f t="shared" si="155"/>
        <v>0</v>
      </c>
    </row>
    <row r="115" spans="13:67" x14ac:dyDescent="0.25">
      <c r="M115" s="66">
        <v>97</v>
      </c>
      <c r="N115" s="36">
        <f t="shared" si="115"/>
        <v>93.325430079699174</v>
      </c>
      <c r="O115" s="91" t="str">
        <f t="shared" si="103"/>
        <v>13,7404580152672</v>
      </c>
      <c r="P115" s="67" t="str">
        <f t="shared" si="104"/>
        <v>1+0,63329144874802i</v>
      </c>
      <c r="Q115" s="67">
        <f t="shared" si="116"/>
        <v>1.1836629837320105</v>
      </c>
      <c r="R115" s="67">
        <f t="shared" si="117"/>
        <v>0.56453949926645364</v>
      </c>
      <c r="S115" s="67" t="str">
        <f t="shared" si="105"/>
        <v>1+0,0175914291318895i</v>
      </c>
      <c r="T115" s="67">
        <f t="shared" si="118"/>
        <v>1.0001547172207419</v>
      </c>
      <c r="U115" s="67">
        <f t="shared" si="119"/>
        <v>1.7589614863694644E-2</v>
      </c>
      <c r="V115" t="str">
        <f t="shared" si="106"/>
        <v>1-0,00366488106914364i</v>
      </c>
      <c r="W115" s="67">
        <f t="shared" si="120"/>
        <v>1.0000067156540755</v>
      </c>
      <c r="X115" s="67">
        <f t="shared" si="121"/>
        <v>-3.6648646611717813E-3</v>
      </c>
      <c r="Y115" t="str">
        <f t="shared" si="107"/>
        <v>0,999999442583302+0,00635917480577717i</v>
      </c>
      <c r="Z115" s="67">
        <f t="shared" si="122"/>
        <v>1.0000196619422665</v>
      </c>
      <c r="AA115" s="67">
        <f t="shared" si="123"/>
        <v>6.3590926326482734E-3</v>
      </c>
      <c r="AB115" s="92" t="str">
        <f t="shared" si="124"/>
        <v>9,8553057792237-6,13731152874182i</v>
      </c>
      <c r="AC115" s="37">
        <f t="shared" si="125"/>
        <v>21.296694167384196</v>
      </c>
      <c r="AD115" s="60">
        <f t="shared" si="126"/>
        <v>-31.912250428401624</v>
      </c>
      <c r="AE115" t="str">
        <f t="shared" si="127"/>
        <v>21,0353732052265</v>
      </c>
      <c r="AF115" t="str">
        <f t="shared" si="108"/>
        <v>1+0,316645724374011i</v>
      </c>
      <c r="AG115">
        <f t="shared" si="128"/>
        <v>1.0489349430562136</v>
      </c>
      <c r="AH115">
        <f t="shared" si="129"/>
        <v>0.30665728564556882</v>
      </c>
      <c r="AI115" t="str">
        <f t="shared" si="109"/>
        <v>1+0,0175914291318895i</v>
      </c>
      <c r="AJ115">
        <f t="shared" si="130"/>
        <v>1.0001547172207419</v>
      </c>
      <c r="AK115">
        <f t="shared" si="131"/>
        <v>1.7589614863694644E-2</v>
      </c>
      <c r="AL115" t="str">
        <f t="shared" si="110"/>
        <v>1-0,00119694514498501i</v>
      </c>
      <c r="AM115">
        <f t="shared" si="132"/>
        <v>1.0000007163385836</v>
      </c>
      <c r="AN115">
        <f t="shared" si="133"/>
        <v>-1.1969445733733034E-3</v>
      </c>
      <c r="AO115" s="58" t="str">
        <f t="shared" si="134"/>
        <v>19,218120352985-5,7404715511062i</v>
      </c>
      <c r="AP115">
        <f t="shared" si="135"/>
        <v>26.045383341319646</v>
      </c>
      <c r="AQ115" s="60">
        <f t="shared" si="136"/>
        <v>-16.630937401843873</v>
      </c>
      <c r="AR115" t="str">
        <f t="shared" si="111"/>
        <v>-1,05811623246493</v>
      </c>
      <c r="AS115" t="str">
        <f t="shared" si="112"/>
        <v>1+0,0173381125523903i</v>
      </c>
      <c r="AT115">
        <f t="shared" si="137"/>
        <v>1.0001502937793296</v>
      </c>
      <c r="AU115">
        <f t="shared" si="138"/>
        <v>1.7336375528159476E-2</v>
      </c>
      <c r="AV115" t="str">
        <f t="shared" si="113"/>
        <v>1+0,0173381125523903i</v>
      </c>
      <c r="AW115">
        <f t="shared" si="139"/>
        <v>1.0001502937793296</v>
      </c>
      <c r="AX115">
        <f t="shared" si="140"/>
        <v>1.7336375528159476E-2</v>
      </c>
      <c r="AY115" t="str">
        <f t="shared" si="114"/>
        <v>1-1,46812667051445i</v>
      </c>
      <c r="AZ115">
        <f t="shared" si="141"/>
        <v>1.7763434129345159</v>
      </c>
      <c r="BA115">
        <f t="shared" si="142"/>
        <v>-0.97284044849404028</v>
      </c>
      <c r="BB115" s="58" t="str">
        <f t="shared" si="143"/>
        <v>-1,03087247400363+1,57132204436747i</v>
      </c>
      <c r="BC115">
        <f t="shared" si="144"/>
        <v>5.4799007984940795</v>
      </c>
      <c r="BD115" s="60">
        <f t="shared" si="145"/>
        <v>123.26704701185977</v>
      </c>
      <c r="BE115" s="58" t="str">
        <f t="shared" si="146"/>
        <v>-0,515870552427968+21,8126447442414i</v>
      </c>
      <c r="BF115" s="37">
        <f t="shared" si="147"/>
        <v>26.776594965878271</v>
      </c>
      <c r="BG115" s="60">
        <f t="shared" si="148"/>
        <v>91.354796583458139</v>
      </c>
      <c r="BH115" s="58" t="str">
        <f t="shared" si="149"/>
        <v>-10,7913017806637+36,1155502717888i</v>
      </c>
      <c r="BI115" s="37">
        <f t="shared" si="150"/>
        <v>31.525284139813735</v>
      </c>
      <c r="BJ115" s="60">
        <f t="shared" si="151"/>
        <v>106.63610961001592</v>
      </c>
      <c r="BK115">
        <f t="shared" si="152"/>
        <v>26.776594965878271</v>
      </c>
      <c r="BL115" s="60">
        <f t="shared" si="153"/>
        <v>91.354796583458139</v>
      </c>
      <c r="BN115">
        <f t="shared" si="154"/>
        <v>0</v>
      </c>
      <c r="BO115">
        <f t="shared" si="155"/>
        <v>0</v>
      </c>
    </row>
    <row r="116" spans="13:67" x14ac:dyDescent="0.25">
      <c r="M116" s="66">
        <v>98</v>
      </c>
      <c r="N116" s="36">
        <f t="shared" si="115"/>
        <v>95.499258602143655</v>
      </c>
      <c r="O116" s="91" t="str">
        <f t="shared" si="103"/>
        <v>13,7404580152672</v>
      </c>
      <c r="P116" s="67" t="str">
        <f t="shared" si="104"/>
        <v>1+0,648042701575176i</v>
      </c>
      <c r="Q116" s="67">
        <f t="shared" si="116"/>
        <v>1.1916204693881574</v>
      </c>
      <c r="R116" s="67">
        <f t="shared" si="117"/>
        <v>0.57499803302986985</v>
      </c>
      <c r="S116" s="67" t="str">
        <f t="shared" si="105"/>
        <v>1+0,018001186154866i</v>
      </c>
      <c r="T116" s="67">
        <f t="shared" si="118"/>
        <v>1.0001620082281579</v>
      </c>
      <c r="U116" s="67">
        <f t="shared" si="119"/>
        <v>1.7999242148477153E-2</v>
      </c>
      <c r="V116" t="str">
        <f t="shared" si="106"/>
        <v>1-0,00375024711559708i</v>
      </c>
      <c r="W116" s="67">
        <f t="shared" si="120"/>
        <v>1.0000070321519885</v>
      </c>
      <c r="X116" s="67">
        <f t="shared" si="121"/>
        <v>-3.7502295341451507E-3</v>
      </c>
      <c r="Y116" t="str">
        <f t="shared" si="107"/>
        <v>0,999999416313063+0,0065072990154401i</v>
      </c>
      <c r="Z116" s="67">
        <f t="shared" si="122"/>
        <v>1.000020588571527</v>
      </c>
      <c r="AA116" s="67">
        <f t="shared" si="123"/>
        <v>6.5072109654439976E-3</v>
      </c>
      <c r="AB116" s="92" t="str">
        <f t="shared" si="124"/>
        <v>9,7263570914099-6,19670409676208i</v>
      </c>
      <c r="AC116" s="37">
        <f t="shared" si="125"/>
        <v>21.238554416229313</v>
      </c>
      <c r="AD116" s="60">
        <f t="shared" si="126"/>
        <v>-32.501387960626765</v>
      </c>
      <c r="AE116" t="str">
        <f t="shared" si="127"/>
        <v>21,0353732052265</v>
      </c>
      <c r="AF116" t="str">
        <f t="shared" si="108"/>
        <v>1+0,324021350787588i</v>
      </c>
      <c r="AG116">
        <f t="shared" si="128"/>
        <v>1.0511849674373264</v>
      </c>
      <c r="AH116">
        <f t="shared" si="129"/>
        <v>0.31334648986257502</v>
      </c>
      <c r="AI116" t="str">
        <f t="shared" si="109"/>
        <v>1+0,018001186154866i</v>
      </c>
      <c r="AJ116">
        <f t="shared" si="130"/>
        <v>1.0001620082281579</v>
      </c>
      <c r="AK116">
        <f t="shared" si="131"/>
        <v>1.7999242148477153E-2</v>
      </c>
      <c r="AL116" t="str">
        <f t="shared" si="110"/>
        <v>1-0,00122482557900763i</v>
      </c>
      <c r="AM116">
        <f t="shared" si="132"/>
        <v>1.0000007500985681</v>
      </c>
      <c r="AN116">
        <f t="shared" si="133"/>
        <v>-1.2248249665146762E-3</v>
      </c>
      <c r="AO116" s="58" t="str">
        <f t="shared" si="134"/>
        <v>19,1406133157297-5,84907037572699i</v>
      </c>
      <c r="AP116">
        <f t="shared" si="135"/>
        <v>26.02683518668773</v>
      </c>
      <c r="AQ116" s="60">
        <f t="shared" si="136"/>
        <v>-16.992328086046175</v>
      </c>
      <c r="AR116" t="str">
        <f t="shared" si="111"/>
        <v>-1,05811623246493</v>
      </c>
      <c r="AS116" t="str">
        <f t="shared" si="112"/>
        <v>1+0,0177419690742359i</v>
      </c>
      <c r="AT116">
        <f t="shared" si="137"/>
        <v>1.0001573763496578</v>
      </c>
      <c r="AU116">
        <f t="shared" si="138"/>
        <v>1.7740107835056203E-2</v>
      </c>
      <c r="AV116" t="str">
        <f t="shared" si="113"/>
        <v>1+0,0177419690742359i</v>
      </c>
      <c r="AW116">
        <f t="shared" si="139"/>
        <v>1.0001573763496578</v>
      </c>
      <c r="AX116">
        <f t="shared" si="140"/>
        <v>1.7740107835056203E-2</v>
      </c>
      <c r="AY116" t="str">
        <f t="shared" si="114"/>
        <v>1-1,43470802750465i</v>
      </c>
      <c r="AZ116">
        <f t="shared" si="141"/>
        <v>1.7488244978231189</v>
      </c>
      <c r="BA116">
        <f t="shared" si="142"/>
        <v>-0.96208263452904641</v>
      </c>
      <c r="BB116" s="58" t="str">
        <f t="shared" si="143"/>
        <v>-1,03085787389946+1,53637730126907i</v>
      </c>
      <c r="BC116">
        <f t="shared" si="144"/>
        <v>5.3442252585004404</v>
      </c>
      <c r="BD116" s="60">
        <f t="shared" si="145"/>
        <v>123.86029219160278</v>
      </c>
      <c r="BE116" s="58" t="str">
        <f t="shared" si="146"/>
        <v>-0,506016275091431+21,3312754696519i</v>
      </c>
      <c r="BF116" s="37">
        <f t="shared" si="147"/>
        <v>26.582779674729771</v>
      </c>
      <c r="BG116" s="60">
        <f t="shared" si="148"/>
        <v>91.358904230976009</v>
      </c>
      <c r="BH116" s="58" t="str">
        <f t="shared" si="149"/>
        <v>-10,7448729889925+35,4367640824659i</v>
      </c>
      <c r="BI116" s="37">
        <f t="shared" si="150"/>
        <v>31.371060445188181</v>
      </c>
      <c r="BJ116" s="60">
        <f t="shared" si="151"/>
        <v>106.86796410555657</v>
      </c>
      <c r="BK116">
        <f t="shared" si="152"/>
        <v>26.582779674729771</v>
      </c>
      <c r="BL116" s="60">
        <f t="shared" si="153"/>
        <v>91.358904230976009</v>
      </c>
      <c r="BN116">
        <f t="shared" si="154"/>
        <v>0</v>
      </c>
      <c r="BO116">
        <f t="shared" si="155"/>
        <v>0</v>
      </c>
    </row>
    <row r="117" spans="13:67" x14ac:dyDescent="0.25">
      <c r="M117" s="66">
        <v>99</v>
      </c>
      <c r="N117" s="36">
        <f t="shared" si="115"/>
        <v>97.723722095581124</v>
      </c>
      <c r="O117" s="91" t="str">
        <f t="shared" si="103"/>
        <v>13,7404580152672</v>
      </c>
      <c r="P117" s="67" t="str">
        <f t="shared" si="104"/>
        <v>1+0,663137555220565i</v>
      </c>
      <c r="Q117" s="67">
        <f t="shared" si="116"/>
        <v>1.1998964193395645</v>
      </c>
      <c r="R117" s="67">
        <f t="shared" si="117"/>
        <v>0.58555539135400303</v>
      </c>
      <c r="S117" s="67" t="str">
        <f t="shared" si="105"/>
        <v>1+0,0184204876450157i</v>
      </c>
      <c r="T117" s="67">
        <f t="shared" si="118"/>
        <v>1.0001696427932014</v>
      </c>
      <c r="U117" s="67">
        <f t="shared" si="119"/>
        <v>1.8418404623722108E-2</v>
      </c>
      <c r="V117" t="str">
        <f t="shared" si="106"/>
        <v>1-0,0038376015927116i</v>
      </c>
      <c r="W117" s="67">
        <f t="shared" si="120"/>
        <v>1.000007363565881</v>
      </c>
      <c r="X117" s="67">
        <f t="shared" si="121"/>
        <v>-3.8375827538539354E-3</v>
      </c>
      <c r="Y117" t="str">
        <f t="shared" si="107"/>
        <v>0,999999388804745+0,0066588734811753i</v>
      </c>
      <c r="Z117" s="67">
        <f t="shared" si="122"/>
        <v>1.0000215588705585</v>
      </c>
      <c r="AA117" s="67">
        <f t="shared" si="123"/>
        <v>6.658779134014481E-3</v>
      </c>
      <c r="AB117" s="92" t="str">
        <f t="shared" si="124"/>
        <v>9,59496004179427-6,25391006707711i</v>
      </c>
      <c r="AC117" s="37">
        <f t="shared" si="125"/>
        <v>21.178499118721827</v>
      </c>
      <c r="AD117" s="60">
        <f t="shared" si="126"/>
        <v>-33.09595298182893</v>
      </c>
      <c r="AE117" t="str">
        <f t="shared" si="127"/>
        <v>21,0353732052265</v>
      </c>
      <c r="AF117" t="str">
        <f t="shared" si="108"/>
        <v>1+0,331568777610283i</v>
      </c>
      <c r="AG117">
        <f t="shared" si="128"/>
        <v>1.0535358818217713</v>
      </c>
      <c r="AH117">
        <f t="shared" si="129"/>
        <v>0.32016161445048258</v>
      </c>
      <c r="AI117" t="str">
        <f t="shared" si="109"/>
        <v>1+0,0184204876450157i</v>
      </c>
      <c r="AJ117">
        <f t="shared" si="130"/>
        <v>1.0001696427932014</v>
      </c>
      <c r="AK117">
        <f t="shared" si="131"/>
        <v>1.8418404623722108E-2</v>
      </c>
      <c r="AL117" t="str">
        <f t="shared" si="110"/>
        <v>1-0,00125335543176473i</v>
      </c>
      <c r="AM117">
        <f t="shared" si="132"/>
        <v>1.0000007854496107</v>
      </c>
      <c r="AN117">
        <f t="shared" si="133"/>
        <v>-1.2533547754667335E-3</v>
      </c>
      <c r="AO117" s="58" t="str">
        <f t="shared" si="134"/>
        <v>19,0601608091751-5,9586371875844i</v>
      </c>
      <c r="AP117">
        <f t="shared" si="135"/>
        <v>26.00749799556985</v>
      </c>
      <c r="AQ117" s="60">
        <f t="shared" si="136"/>
        <v>-17.360424358670585</v>
      </c>
      <c r="AR117" t="str">
        <f t="shared" si="111"/>
        <v>-1,05811623246493</v>
      </c>
      <c r="AS117" t="str">
        <f t="shared" si="112"/>
        <v>1+0,0181552326229275i</v>
      </c>
      <c r="AT117">
        <f t="shared" si="137"/>
        <v>1.0001647926574864</v>
      </c>
      <c r="AU117">
        <f t="shared" si="138"/>
        <v>1.8153238286961724E-2</v>
      </c>
      <c r="AV117" t="str">
        <f t="shared" si="113"/>
        <v>1+0,0181552326229275i</v>
      </c>
      <c r="AW117">
        <f t="shared" si="139"/>
        <v>1.0001647926574864</v>
      </c>
      <c r="AX117">
        <f t="shared" si="140"/>
        <v>1.8153238286961724E-2</v>
      </c>
      <c r="AY117" t="str">
        <f t="shared" si="114"/>
        <v>1-1,40205008568163i</v>
      </c>
      <c r="AZ117">
        <f t="shared" si="141"/>
        <v>1.7221336889916146</v>
      </c>
      <c r="BA117">
        <f t="shared" si="142"/>
        <v>-0.95123876630035631</v>
      </c>
      <c r="BB117" s="58" t="str">
        <f t="shared" si="143"/>
        <v>-1,03084258615681+1,50224714133788i</v>
      </c>
      <c r="BC117">
        <f t="shared" si="144"/>
        <v>5.2105735381940042</v>
      </c>
      <c r="BD117" s="60">
        <f t="shared" si="145"/>
        <v>124.45792944341999</v>
      </c>
      <c r="BE117" s="58" t="str">
        <f t="shared" si="146"/>
        <v>-0,495974903103681+20,8607981211745i</v>
      </c>
      <c r="BF117" s="37">
        <f t="shared" si="147"/>
        <v>26.389072656915829</v>
      </c>
      <c r="BG117" s="60">
        <f t="shared" si="148"/>
        <v>91.361976461591055</v>
      </c>
      <c r="BH117" s="58" t="str">
        <f t="shared" si="149"/>
        <v>-10,6966797797765+34,7754890574432i</v>
      </c>
      <c r="BI117" s="37">
        <f t="shared" si="150"/>
        <v>31.218071533763847</v>
      </c>
      <c r="BJ117" s="60">
        <f t="shared" si="151"/>
        <v>107.09750508474943</v>
      </c>
      <c r="BK117">
        <f t="shared" si="152"/>
        <v>26.389072656915829</v>
      </c>
      <c r="BL117" s="60">
        <f t="shared" si="153"/>
        <v>91.361976461591055</v>
      </c>
      <c r="BN117">
        <f t="shared" si="154"/>
        <v>0</v>
      </c>
      <c r="BO117">
        <f t="shared" si="155"/>
        <v>0</v>
      </c>
    </row>
    <row r="118" spans="13:67" x14ac:dyDescent="0.25">
      <c r="M118" s="66">
        <v>100</v>
      </c>
      <c r="N118" s="36">
        <f t="shared" si="115"/>
        <v>100</v>
      </c>
      <c r="O118" s="91" t="str">
        <f t="shared" si="103"/>
        <v>13,7404580152672</v>
      </c>
      <c r="P118" s="67" t="str">
        <f t="shared" si="104"/>
        <v>1+0,678584013175396i</v>
      </c>
      <c r="Q118" s="67">
        <f t="shared" si="116"/>
        <v>1.2085016602956018</v>
      </c>
      <c r="R118" s="67">
        <f t="shared" si="117"/>
        <v>0.59620775812876436</v>
      </c>
      <c r="S118" s="67" t="str">
        <f t="shared" si="105"/>
        <v>1+0,0188495559215388i</v>
      </c>
      <c r="T118" s="67">
        <f t="shared" si="118"/>
        <v>1.0001776371017497</v>
      </c>
      <c r="U118" s="67">
        <f t="shared" si="119"/>
        <v>1.8847323945418881E-2</v>
      </c>
      <c r="V118" t="str">
        <f t="shared" si="106"/>
        <v>1-0,00392699081698724i</v>
      </c>
      <c r="W118" s="67">
        <f t="shared" si="120"/>
        <v>1.0000077105987117</v>
      </c>
      <c r="X118" s="67">
        <f t="shared" si="121"/>
        <v>-3.9269706307959703E-3</v>
      </c>
      <c r="Y118" t="str">
        <f t="shared" si="107"/>
        <v>0,99999936+0,00681397856977084i</v>
      </c>
      <c r="Z118" s="67">
        <f t="shared" si="122"/>
        <v>1.0000225748973663</v>
      </c>
      <c r="AA118" s="67">
        <f t="shared" si="123"/>
        <v>6.8138774750898592E-3</v>
      </c>
      <c r="AB118" s="92" t="str">
        <f t="shared" si="124"/>
        <v>9,46118746477262-6,30880695801447i</v>
      </c>
      <c r="AC118" s="37">
        <f t="shared" si="125"/>
        <v>21.116492852525145</v>
      </c>
      <c r="AD118" s="60">
        <f t="shared" si="126"/>
        <v>-33.695721401404782</v>
      </c>
      <c r="AE118" t="str">
        <f t="shared" si="127"/>
        <v>21,0353732052265</v>
      </c>
      <c r="AF118" t="str">
        <f t="shared" si="108"/>
        <v>1+0,339292006587698i</v>
      </c>
      <c r="AG118">
        <f t="shared" si="128"/>
        <v>1.0559919818513333</v>
      </c>
      <c r="AH118">
        <f t="shared" si="129"/>
        <v>0.32710373973420082</v>
      </c>
      <c r="AI118" t="str">
        <f t="shared" si="109"/>
        <v>1+0,0188495559215388i</v>
      </c>
      <c r="AJ118">
        <f t="shared" si="130"/>
        <v>1.0001776371017497</v>
      </c>
      <c r="AK118">
        <f t="shared" si="131"/>
        <v>1.8847323945418881E-2</v>
      </c>
      <c r="AL118" t="str">
        <f t="shared" si="110"/>
        <v>1-0,00128254983016186i</v>
      </c>
      <c r="AM118">
        <f t="shared" si="132"/>
        <v>1.0000008224666952</v>
      </c>
      <c r="AN118">
        <f t="shared" si="133"/>
        <v>-1.2825491269259181E-3</v>
      </c>
      <c r="AO118" s="58" t="str">
        <f t="shared" si="134"/>
        <v>18,9766819277009-6,06910796039555i</v>
      </c>
      <c r="AP118">
        <f t="shared" si="135"/>
        <v>25.987341962533751</v>
      </c>
      <c r="AQ118" s="60">
        <f t="shared" si="136"/>
        <v>-17.735276284518143</v>
      </c>
      <c r="AR118" t="str">
        <f t="shared" si="111"/>
        <v>-1,05811623246493</v>
      </c>
      <c r="AS118" t="str">
        <f t="shared" si="112"/>
        <v>1+0,0185781223162686i</v>
      </c>
      <c r="AT118">
        <f t="shared" si="137"/>
        <v>1.0001725584261938</v>
      </c>
      <c r="AU118">
        <f t="shared" si="138"/>
        <v>1.8575985366692093E-2</v>
      </c>
      <c r="AV118" t="str">
        <f t="shared" si="113"/>
        <v>1+0,0185781223162686i</v>
      </c>
      <c r="AW118">
        <f t="shared" si="139"/>
        <v>1.0001725584261938</v>
      </c>
      <c r="AX118">
        <f t="shared" si="140"/>
        <v>1.8575985366692093E-2</v>
      </c>
      <c r="AY118" t="str">
        <f t="shared" si="114"/>
        <v>1-1,37013552937238i</v>
      </c>
      <c r="AZ118">
        <f t="shared" si="141"/>
        <v>1.6962521536754291</v>
      </c>
      <c r="BA118">
        <f t="shared" si="142"/>
        <v>-0.94031329510527206</v>
      </c>
      <c r="BB118" s="58" t="str">
        <f t="shared" si="143"/>
        <v>-1,03082657841104+1,46891346656643i</v>
      </c>
      <c r="BC118">
        <f t="shared" si="144"/>
        <v>5.0789770856153895</v>
      </c>
      <c r="BD118" s="60">
        <f t="shared" si="145"/>
        <v>125.05969120861999</v>
      </c>
      <c r="BE118" s="58" t="str">
        <f t="shared" si="146"/>
        <v>-0,485752003421531+20,4009515670998i</v>
      </c>
      <c r="BF118" s="37">
        <f t="shared" si="147"/>
        <v>26.195469938140526</v>
      </c>
      <c r="BG118" s="60">
        <f t="shared" si="148"/>
        <v>91.363969807215213</v>
      </c>
      <c r="BH118" s="58" t="str">
        <f t="shared" si="149"/>
        <v>-10,646673688056+34,1313014271694i</v>
      </c>
      <c r="BI118" s="37">
        <f t="shared" si="150"/>
        <v>31.066319048149143</v>
      </c>
      <c r="BJ118" s="60">
        <f t="shared" si="151"/>
        <v>107.32441492410187</v>
      </c>
      <c r="BK118">
        <f t="shared" si="152"/>
        <v>26.195469938140526</v>
      </c>
      <c r="BL118" s="60">
        <f t="shared" si="153"/>
        <v>91.363969807215213</v>
      </c>
      <c r="BN118">
        <f t="shared" si="154"/>
        <v>0</v>
      </c>
      <c r="BO118">
        <f t="shared" si="155"/>
        <v>0</v>
      </c>
    </row>
    <row r="119" spans="13:67" x14ac:dyDescent="0.25">
      <c r="M119" s="66">
        <v>1</v>
      </c>
      <c r="N119" s="36">
        <f>10^(2+(M119/100))</f>
        <v>102.32929922807544</v>
      </c>
      <c r="O119" s="91" t="str">
        <f t="shared" si="103"/>
        <v>13,7404580152672</v>
      </c>
      <c r="P119" s="67" t="str">
        <f t="shared" si="104"/>
        <v>1+0,694390265356133i</v>
      </c>
      <c r="Q119" s="67">
        <f t="shared" si="116"/>
        <v>1.217447264000113</v>
      </c>
      <c r="R119" s="67">
        <f t="shared" si="117"/>
        <v>0.606951111271407</v>
      </c>
      <c r="S119" s="67" t="str">
        <f t="shared" si="105"/>
        <v>1+0,0192886184821148i</v>
      </c>
      <c r="T119" s="67">
        <f t="shared" si="118"/>
        <v>1.0001860081019673</v>
      </c>
      <c r="U119" s="67">
        <f t="shared" si="119"/>
        <v>1.9286226900634643E-2</v>
      </c>
      <c r="V119" t="str">
        <f t="shared" si="106"/>
        <v>1-0,00401846218377392i</v>
      </c>
      <c r="W119" s="67">
        <f t="shared" si="120"/>
        <v>1.0000080739865667</v>
      </c>
      <c r="X119" s="67">
        <f t="shared" si="121"/>
        <v>-4.0184405538897074E-3</v>
      </c>
      <c r="Y119" t="str">
        <f t="shared" si="107"/>
        <v>0,999999329837729+0,00697269651999773i</v>
      </c>
      <c r="Z119" s="67">
        <f t="shared" si="122"/>
        <v>1.000023638806937</v>
      </c>
      <c r="AA119" s="67">
        <f t="shared" si="123"/>
        <v>6.9725881952336722E-3</v>
      </c>
      <c r="AB119" s="92" t="str">
        <f t="shared" si="124"/>
        <v>9,32511997600897-6,36127459326547i</v>
      </c>
      <c r="AC119" s="37">
        <f t="shared" si="125"/>
        <v>21.052501332019709</v>
      </c>
      <c r="AD119" s="60">
        <f t="shared" si="126"/>
        <v>-34.300457202320523</v>
      </c>
      <c r="AE119" t="str">
        <f t="shared" si="127"/>
        <v>21,0353732052265</v>
      </c>
      <c r="AF119" t="str">
        <f t="shared" si="108"/>
        <v>1+0,347195132678067i</v>
      </c>
      <c r="AG119">
        <f t="shared" si="128"/>
        <v>1.0585577264161556</v>
      </c>
      <c r="AH119">
        <f t="shared" si="129"/>
        <v>0.33417386912766861</v>
      </c>
      <c r="AI119" t="str">
        <f t="shared" si="109"/>
        <v>1+0,0192886184821148i</v>
      </c>
      <c r="AJ119">
        <f t="shared" si="130"/>
        <v>1.0001860081019673</v>
      </c>
      <c r="AK119">
        <f t="shared" si="131"/>
        <v>1.9286226900634643E-2</v>
      </c>
      <c r="AL119" t="str">
        <f t="shared" si="110"/>
        <v>1-0,00131242425345551i</v>
      </c>
      <c r="AM119">
        <f t="shared" si="132"/>
        <v>1.0000008612283398</v>
      </c>
      <c r="AN119">
        <f t="shared" si="133"/>
        <v>-1.3124234999246571E-3</v>
      </c>
      <c r="AO119" s="58" t="str">
        <f t="shared" si="134"/>
        <v>18,8900962238357-6,18041351032661i</v>
      </c>
      <c r="AP119">
        <f t="shared" si="135"/>
        <v>25.966336479449247</v>
      </c>
      <c r="AQ119" s="60">
        <f t="shared" si="136"/>
        <v>-18.11692924791398</v>
      </c>
      <c r="AR119" t="str">
        <f t="shared" si="111"/>
        <v>-1,05811623246493</v>
      </c>
      <c r="AS119" t="str">
        <f t="shared" si="112"/>
        <v>1+0,0190108623759724i</v>
      </c>
      <c r="AT119">
        <f t="shared" si="137"/>
        <v>1.0001806901196792</v>
      </c>
      <c r="AU119">
        <f t="shared" si="138"/>
        <v>1.9008572615587922E-2</v>
      </c>
      <c r="AV119" t="str">
        <f t="shared" si="113"/>
        <v>1+0,0190108623759724i</v>
      </c>
      <c r="AW119">
        <f t="shared" si="139"/>
        <v>1.0001806901196792</v>
      </c>
      <c r="AX119">
        <f t="shared" si="140"/>
        <v>1.9008572615587922E-2</v>
      </c>
      <c r="AY119" t="str">
        <f t="shared" si="114"/>
        <v>1-1,33894743705668i</v>
      </c>
      <c r="AZ119">
        <f t="shared" si="141"/>
        <v>1.6711613444550026</v>
      </c>
      <c r="BA119">
        <f t="shared" si="142"/>
        <v>-0.92931086091131276</v>
      </c>
      <c r="BB119" s="58" t="str">
        <f t="shared" si="143"/>
        <v>-1,03080981677631+1,43635860112953i</v>
      </c>
      <c r="BC119">
        <f t="shared" si="144"/>
        <v>4.949465854458758</v>
      </c>
      <c r="BD119" s="60">
        <f t="shared" si="145"/>
        <v>125.66529882867138</v>
      </c>
      <c r="BE119" s="58" t="str">
        <f t="shared" si="146"/>
        <v>-0,475353737703305+19,9514805820531i</v>
      </c>
      <c r="BF119" s="37">
        <f t="shared" si="147"/>
        <v>26.001967186478492</v>
      </c>
      <c r="BG119" s="60">
        <f t="shared" si="148"/>
        <v>91.364841626350866</v>
      </c>
      <c r="BH119" s="58" t="str">
        <f t="shared" si="149"/>
        <v>-10,5948065232842+33,5037831054525i</v>
      </c>
      <c r="BI119" s="37">
        <f t="shared" si="150"/>
        <v>30.915802333908012</v>
      </c>
      <c r="BJ119" s="60">
        <f t="shared" si="151"/>
        <v>107.54836958075744</v>
      </c>
      <c r="BK119">
        <f t="shared" si="152"/>
        <v>26.001967186478492</v>
      </c>
      <c r="BL119" s="60">
        <f t="shared" si="153"/>
        <v>91.364841626350866</v>
      </c>
      <c r="BN119">
        <f t="shared" si="154"/>
        <v>0</v>
      </c>
      <c r="BO119">
        <f t="shared" si="155"/>
        <v>0</v>
      </c>
    </row>
    <row r="120" spans="13:67" x14ac:dyDescent="0.25">
      <c r="M120" s="66">
        <v>2</v>
      </c>
      <c r="N120" s="36">
        <f t="shared" ref="N120:N183" si="156">10^(2+(M120/100))</f>
        <v>104.71285480508998</v>
      </c>
      <c r="O120" s="91" t="str">
        <f t="shared" si="103"/>
        <v>13,7404580152672</v>
      </c>
      <c r="P120" s="67" t="str">
        <f t="shared" si="104"/>
        <v>1+0,710564692446905i</v>
      </c>
      <c r="Q120" s="67">
        <f t="shared" si="116"/>
        <v>1.2267445464122368</v>
      </c>
      <c r="R120" s="67">
        <f t="shared" si="117"/>
        <v>0.61778122712592376</v>
      </c>
      <c r="S120" s="67" t="str">
        <f t="shared" si="105"/>
        <v>1+0,0197379081235251i</v>
      </c>
      <c r="T120" s="67">
        <f t="shared" si="118"/>
        <v>1.0001947735401804</v>
      </c>
      <c r="U120" s="67">
        <f t="shared" si="119"/>
        <v>1.9735345524750592E-2</v>
      </c>
      <c r="V120" t="str">
        <f t="shared" si="106"/>
        <v>1-0,00411206419240107i</v>
      </c>
      <c r="W120" s="67">
        <f t="shared" si="120"/>
        <v>1.0000084545002219</v>
      </c>
      <c r="X120" s="67">
        <f t="shared" si="121"/>
        <v>-4.112041015573149E-3</v>
      </c>
      <c r="Y120" t="str">
        <f t="shared" si="107"/>
        <v>0,999999298253955+0,00713511148621409i</v>
      </c>
      <c r="Z120" s="67">
        <f t="shared" si="122"/>
        <v>1.0000247528558097</v>
      </c>
      <c r="AA120" s="67">
        <f t="shared" si="123"/>
        <v>7.1349954142932983E-3</v>
      </c>
      <c r="AB120" s="92" t="str">
        <f t="shared" si="124"/>
        <v>9,18684592619103-6,41119568038665i</v>
      </c>
      <c r="AC120" s="37">
        <f t="shared" si="125"/>
        <v>20.986491522971399</v>
      </c>
      <c r="AD120" s="60">
        <f t="shared" si="126"/>
        <v>-34.909912690388978</v>
      </c>
      <c r="AE120" t="str">
        <f t="shared" si="127"/>
        <v>21,0353732052265</v>
      </c>
      <c r="AF120" t="str">
        <f t="shared" si="108"/>
        <v>1+0,355282346223453i</v>
      </c>
      <c r="AG120">
        <f t="shared" si="128"/>
        <v>1.0612377422321737</v>
      </c>
      <c r="AH120">
        <f t="shared" si="129"/>
        <v>0.34137292308871214</v>
      </c>
      <c r="AI120" t="str">
        <f t="shared" si="109"/>
        <v>1+0,0197379081235251i</v>
      </c>
      <c r="AJ120">
        <f t="shared" si="130"/>
        <v>1.0001947735401804</v>
      </c>
      <c r="AK120">
        <f t="shared" si="131"/>
        <v>1.9735345524750592E-2</v>
      </c>
      <c r="AL120" t="str">
        <f t="shared" si="110"/>
        <v>1-0,00134299454146032i</v>
      </c>
      <c r="AM120">
        <f t="shared" si="132"/>
        <v>1.0000009018167626</v>
      </c>
      <c r="AN120">
        <f t="shared" si="133"/>
        <v>-1.3429937340375035E-3</v>
      </c>
      <c r="AO120" s="58" t="str">
        <f t="shared" si="134"/>
        <v>18,800323984429-6,29247934267235i</v>
      </c>
      <c r="AP120">
        <f t="shared" si="135"/>
        <v>25.944450141763092</v>
      </c>
      <c r="AQ120" s="60">
        <f t="shared" si="136"/>
        <v>-18.505423600099466</v>
      </c>
      <c r="AR120" t="str">
        <f t="shared" si="111"/>
        <v>-1,05811623246493</v>
      </c>
      <c r="AS120" t="str">
        <f t="shared" si="112"/>
        <v>1+0,0194536822465464i</v>
      </c>
      <c r="AT120">
        <f t="shared" si="137"/>
        <v>1.0001892049772132</v>
      </c>
      <c r="AU120">
        <f t="shared" si="138"/>
        <v>1.9451228749156564E-2</v>
      </c>
      <c r="AV120" t="str">
        <f t="shared" si="113"/>
        <v>1+0,0194536822465464i</v>
      </c>
      <c r="AW120">
        <f t="shared" si="139"/>
        <v>1.0001892049772132</v>
      </c>
      <c r="AX120">
        <f t="shared" si="140"/>
        <v>1.9451228749156564E-2</v>
      </c>
      <c r="AY120" t="str">
        <f t="shared" si="114"/>
        <v>1-1,30846927239517i</v>
      </c>
      <c r="AZ120">
        <f t="shared" si="141"/>
        <v>1.646842990938221</v>
      </c>
      <c r="BA120">
        <f t="shared" si="142"/>
        <v>-0.9182362848233776</v>
      </c>
      <c r="BB120" s="58" t="str">
        <f t="shared" si="143"/>
        <v>-1,0307922657743+1,40456528200348i</v>
      </c>
      <c r="BC120">
        <f t="shared" si="144"/>
        <v>4.8220681952641096</v>
      </c>
      <c r="BD120" s="60">
        <f t="shared" si="145"/>
        <v>126.27446297017754</v>
      </c>
      <c r="BE120" s="58" t="str">
        <f t="shared" si="146"/>
        <v>-0,464786858776082+19,5121357607512i</v>
      </c>
      <c r="BF120" s="37">
        <f t="shared" si="147"/>
        <v>25.808559718235514</v>
      </c>
      <c r="BG120" s="60">
        <f t="shared" si="148"/>
        <v>91.36455027978856</v>
      </c>
      <c r="BH120" s="58" t="str">
        <f t="shared" si="149"/>
        <v>-10,5410305347588+32,8925213979175i</v>
      </c>
      <c r="BI120" s="37">
        <f t="shared" si="150"/>
        <v>30.766518337027197</v>
      </c>
      <c r="BJ120" s="60">
        <f t="shared" si="151"/>
        <v>107.76903937007803</v>
      </c>
      <c r="BK120">
        <f t="shared" si="152"/>
        <v>25.808559718235514</v>
      </c>
      <c r="BL120" s="60">
        <f t="shared" si="153"/>
        <v>91.36455027978856</v>
      </c>
      <c r="BN120">
        <f t="shared" si="154"/>
        <v>0</v>
      </c>
      <c r="BO120">
        <f t="shared" si="155"/>
        <v>0</v>
      </c>
    </row>
    <row r="121" spans="13:67" x14ac:dyDescent="0.25">
      <c r="M121" s="66">
        <v>3</v>
      </c>
      <c r="N121" s="36">
        <f t="shared" si="156"/>
        <v>107.15193052376065</v>
      </c>
      <c r="O121" s="91" t="str">
        <f t="shared" si="103"/>
        <v>13,7404580152672</v>
      </c>
      <c r="P121" s="67" t="str">
        <f t="shared" si="104"/>
        <v>1+0,727115870343047i</v>
      </c>
      <c r="Q121" s="67">
        <f t="shared" si="116"/>
        <v>1.2364050666770687</v>
      </c>
      <c r="R121" s="67">
        <f t="shared" si="117"/>
        <v>0.62869368584969043</v>
      </c>
      <c r="S121" s="67" t="str">
        <f t="shared" si="105"/>
        <v>1+0,0201976630650847i</v>
      </c>
      <c r="T121" s="67">
        <f t="shared" si="118"/>
        <v>1.0002039519984365</v>
      </c>
      <c r="U121" s="67">
        <f t="shared" si="119"/>
        <v>2.0194917221265579E-2</v>
      </c>
      <c r="V121" t="str">
        <f t="shared" si="106"/>
        <v>1-0,00420784647189263i</v>
      </c>
      <c r="W121" s="67">
        <f t="shared" si="120"/>
        <v>1.0000088529467781</v>
      </c>
      <c r="X121" s="67">
        <f t="shared" si="121"/>
        <v>-4.2078216374859534E-3</v>
      </c>
      <c r="Y121" t="str">
        <f t="shared" si="107"/>
        <v>0,999999265181682+0,00730130958298479i</v>
      </c>
      <c r="Z121" s="67">
        <f t="shared" si="122"/>
        <v>1.0000259194068575</v>
      </c>
      <c r="AA121" s="67">
        <f t="shared" si="123"/>
        <v>7.3011852098549389E-3</v>
      </c>
      <c r="AB121" s="92" t="str">
        <f t="shared" si="124"/>
        <v>9,04646130508739-6,4584563954132i</v>
      </c>
      <c r="AC121" s="37">
        <f t="shared" si="125"/>
        <v>20.918431756167848</v>
      </c>
      <c r="AD121" s="60">
        <f t="shared" si="126"/>
        <v>-35.523828800056123</v>
      </c>
      <c r="AE121" t="str">
        <f t="shared" si="127"/>
        <v>21,0353732052265</v>
      </c>
      <c r="AF121" t="str">
        <f t="shared" si="108"/>
        <v>1+0,363557935171524i</v>
      </c>
      <c r="AG121">
        <f t="shared" si="128"/>
        <v>1.0640368284162829</v>
      </c>
      <c r="AH121">
        <f t="shared" si="129"/>
        <v>0.34870173290307988</v>
      </c>
      <c r="AI121" t="str">
        <f t="shared" si="109"/>
        <v>1+0,0201976630650847i</v>
      </c>
      <c r="AJ121">
        <f t="shared" si="130"/>
        <v>1.0002039519984365</v>
      </c>
      <c r="AK121">
        <f t="shared" si="131"/>
        <v>2.0194917221265579E-2</v>
      </c>
      <c r="AL121" t="str">
        <f t="shared" si="110"/>
        <v>1-0,00137427690294765i</v>
      </c>
      <c r="AM121">
        <f t="shared" si="132"/>
        <v>1.0000009443180571</v>
      </c>
      <c r="AN121">
        <f t="shared" si="133"/>
        <v>-1.3742760377785587E-3</v>
      </c>
      <c r="AO121" s="58" t="str">
        <f t="shared" si="134"/>
        <v>18,7072865273177-6,40522550962705i</v>
      </c>
      <c r="AP121">
        <f t="shared" si="135"/>
        <v>25.921650757661027</v>
      </c>
      <c r="AQ121" s="60">
        <f t="shared" si="136"/>
        <v>-18.900794296700695</v>
      </c>
      <c r="AR121" t="str">
        <f t="shared" si="111"/>
        <v>-1,05811623246493</v>
      </c>
      <c r="AS121" t="str">
        <f t="shared" si="112"/>
        <v>1+0,0199068167169474i</v>
      </c>
      <c r="AT121">
        <f t="shared" si="137"/>
        <v>1.0001981210499258</v>
      </c>
      <c r="AU121">
        <f t="shared" si="138"/>
        <v>1.9904187775253216E-2</v>
      </c>
      <c r="AV121" t="str">
        <f t="shared" si="113"/>
        <v>1+0,0199068167169474i</v>
      </c>
      <c r="AW121">
        <f t="shared" si="139"/>
        <v>1.0001981210499258</v>
      </c>
      <c r="AX121">
        <f t="shared" si="140"/>
        <v>1.9904187775253216E-2</v>
      </c>
      <c r="AY121" t="str">
        <f t="shared" si="114"/>
        <v>1-1,27868487546153i</v>
      </c>
      <c r="AZ121">
        <f t="shared" si="141"/>
        <v>1.623279092064599</v>
      </c>
      <c r="BA121">
        <f t="shared" si="142"/>
        <v>-0.9070945605728451</v>
      </c>
      <c r="BB121" s="58" t="str">
        <f t="shared" si="143"/>
        <v>-1,03077388825962+1,37351664980344i</v>
      </c>
      <c r="BC121">
        <f t="shared" si="144"/>
        <v>4.6968107500483702</v>
      </c>
      <c r="BD121" s="60">
        <f t="shared" si="145"/>
        <v>126.88688410574417</v>
      </c>
      <c r="BE121" s="58" t="str">
        <f t="shared" si="146"/>
        <v>-0,454058703305588+19,0826734351954i</v>
      </c>
      <c r="BF121" s="37">
        <f t="shared" si="147"/>
        <v>25.615242506216237</v>
      </c>
      <c r="BG121" s="60">
        <f t="shared" si="148"/>
        <v>91.363055305688064</v>
      </c>
      <c r="BH121" s="58" t="str">
        <f t="shared" si="149"/>
        <v>-10,4852985893316+32,2971087216524i</v>
      </c>
      <c r="BI121" s="37">
        <f t="shared" si="150"/>
        <v>30.618461507709398</v>
      </c>
      <c r="BJ121" s="60">
        <f t="shared" si="151"/>
        <v>107.98608980904352</v>
      </c>
      <c r="BK121">
        <f t="shared" si="152"/>
        <v>25.615242506216237</v>
      </c>
      <c r="BL121" s="60">
        <f t="shared" si="153"/>
        <v>91.363055305688064</v>
      </c>
      <c r="BN121">
        <f t="shared" si="154"/>
        <v>0</v>
      </c>
      <c r="BO121">
        <f t="shared" si="155"/>
        <v>0</v>
      </c>
    </row>
    <row r="122" spans="13:67" x14ac:dyDescent="0.25">
      <c r="M122" s="66">
        <v>4</v>
      </c>
      <c r="N122" s="36">
        <f t="shared" si="156"/>
        <v>109.64781961431861</v>
      </c>
      <c r="O122" s="91" t="str">
        <f t="shared" si="103"/>
        <v>13,7404580152672</v>
      </c>
      <c r="P122" s="67" t="str">
        <f t="shared" si="104"/>
        <v>1+0,744052574698161i</v>
      </c>
      <c r="Q122" s="67">
        <f t="shared" si="116"/>
        <v>1.2464406259084155</v>
      </c>
      <c r="R122" s="67">
        <f t="shared" si="117"/>
        <v>0.63968387779370806</v>
      </c>
      <c r="S122" s="67" t="str">
        <f t="shared" si="105"/>
        <v>1+0,0206681270749489i</v>
      </c>
      <c r="T122" s="67">
        <f t="shared" si="118"/>
        <v>1.0002135629338298</v>
      </c>
      <c r="U122" s="67">
        <f t="shared" si="119"/>
        <v>2.0665184884215732E-2</v>
      </c>
      <c r="V122" t="str">
        <f t="shared" si="106"/>
        <v>1-0,00430585980728102i</v>
      </c>
      <c r="W122" s="67">
        <f t="shared" si="120"/>
        <v>1.0000092701713719</v>
      </c>
      <c r="X122" s="67">
        <f t="shared" si="121"/>
        <v>-4.3058331967481545E-3</v>
      </c>
      <c r="Y122" t="str">
        <f t="shared" si="107"/>
        <v>0,999999230550762+0,00747137893074065i</v>
      </c>
      <c r="Z122" s="67">
        <f t="shared" si="122"/>
        <v>1.0000271409343062</v>
      </c>
      <c r="AA122" s="67">
        <f t="shared" si="123"/>
        <v>7.4712456627262632E-3</v>
      </c>
      <c r="AB122" s="92" t="str">
        <f t="shared" si="124"/>
        <v>8,90406959437709-6,50294696877492i</v>
      </c>
      <c r="AC122" s="37">
        <f t="shared" si="125"/>
        <v>20.848291839279245</v>
      </c>
      <c r="AD122" s="60">
        <f t="shared" si="126"/>
        <v>-36.141935457059333</v>
      </c>
      <c r="AE122" t="str">
        <f t="shared" si="127"/>
        <v>21,0353732052265</v>
      </c>
      <c r="AF122" t="str">
        <f t="shared" si="108"/>
        <v>1+0,372026287349081i</v>
      </c>
      <c r="AG122">
        <f t="shared" si="128"/>
        <v>1.066959961047621</v>
      </c>
      <c r="AH122">
        <f t="shared" si="129"/>
        <v>0.35616103431161139</v>
      </c>
      <c r="AI122" t="str">
        <f t="shared" si="109"/>
        <v>1+0,0206681270749489i</v>
      </c>
      <c r="AJ122">
        <f t="shared" si="130"/>
        <v>1.0002135629338298</v>
      </c>
      <c r="AK122">
        <f t="shared" si="131"/>
        <v>2.0665184884215732E-2</v>
      </c>
      <c r="AL122" t="str">
        <f t="shared" si="110"/>
        <v>1-0,00140628792423963i</v>
      </c>
      <c r="AM122">
        <f t="shared" si="132"/>
        <v>1.000000988822374</v>
      </c>
      <c r="AN122">
        <f t="shared" si="133"/>
        <v>-1.4062869971942958E-3</v>
      </c>
      <c r="AO122" s="58" t="str">
        <f t="shared" si="134"/>
        <v>18,6109065186211-6,51856648116919i</v>
      </c>
      <c r="AP122">
        <f t="shared" si="135"/>
        <v>25.897905360323566</v>
      </c>
      <c r="AQ122" s="60">
        <f t="shared" si="136"/>
        <v>-19.303070526069646</v>
      </c>
      <c r="AR122" t="str">
        <f t="shared" si="111"/>
        <v>-1,05811623246493</v>
      </c>
      <c r="AS122" t="str">
        <f t="shared" si="112"/>
        <v>1+0,0203705060450697i</v>
      </c>
      <c r="AT122">
        <f t="shared" si="137"/>
        <v>1.0002074572390132</v>
      </c>
      <c r="AU122">
        <f t="shared" si="138"/>
        <v>2.0367689114847282E-2</v>
      </c>
      <c r="AV122" t="str">
        <f t="shared" si="113"/>
        <v>1+0,0203705060450697i</v>
      </c>
      <c r="AW122">
        <f t="shared" si="139"/>
        <v>1.0002074572390132</v>
      </c>
      <c r="AX122">
        <f t="shared" si="140"/>
        <v>2.0367689114847282E-2</v>
      </c>
      <c r="AY122" t="str">
        <f t="shared" si="114"/>
        <v>1-1,24957845417425i</v>
      </c>
      <c r="AZ122">
        <f t="shared" si="141"/>
        <v>1.6004519090358538</v>
      </c>
      <c r="BA122">
        <f t="shared" si="142"/>
        <v>-0.89589084505012206</v>
      </c>
      <c r="BB122" s="58" t="str">
        <f t="shared" si="143"/>
        <v>-1,03075464534167+1,34319623983413i</v>
      </c>
      <c r="BC122">
        <f t="shared" si="144"/>
        <v>4.5737183511502639</v>
      </c>
      <c r="BD122" s="60">
        <f t="shared" si="145"/>
        <v>127.50225304950369</v>
      </c>
      <c r="BE122" s="58" t="str">
        <f t="shared" si="146"/>
        <v>-0,443177180550478+18,662855594864i</v>
      </c>
      <c r="BF122" s="37">
        <f t="shared" si="147"/>
        <v>25.422010190429511</v>
      </c>
      <c r="BG122" s="60">
        <f t="shared" si="148"/>
        <v>91.360317592444375</v>
      </c>
      <c r="BH122" s="58" t="str">
        <f t="shared" si="149"/>
        <v>-10,427564361473+31,71714233715i</v>
      </c>
      <c r="BI122" s="37">
        <f t="shared" si="150"/>
        <v>30.471623711473828</v>
      </c>
      <c r="BJ122" s="60">
        <f t="shared" si="151"/>
        <v>108.19918252343403</v>
      </c>
      <c r="BK122">
        <f t="shared" si="152"/>
        <v>25.422010190429511</v>
      </c>
      <c r="BL122" s="60">
        <f t="shared" si="153"/>
        <v>91.360317592444375</v>
      </c>
      <c r="BN122">
        <f t="shared" si="154"/>
        <v>0</v>
      </c>
      <c r="BO122">
        <f t="shared" si="155"/>
        <v>0</v>
      </c>
    </row>
    <row r="123" spans="13:67" x14ac:dyDescent="0.25">
      <c r="M123" s="66">
        <v>5</v>
      </c>
      <c r="N123" s="36">
        <f t="shared" si="156"/>
        <v>112.20184543019634</v>
      </c>
      <c r="O123" s="91" t="str">
        <f t="shared" si="103"/>
        <v>13,7404580152672</v>
      </c>
      <c r="P123" s="67" t="str">
        <f t="shared" si="104"/>
        <v>1+0,761383785577081i</v>
      </c>
      <c r="Q123" s="67">
        <f t="shared" si="116"/>
        <v>1.2568632658088494</v>
      </c>
      <c r="R123" s="67">
        <f t="shared" si="117"/>
        <v>0.6507470108743606</v>
      </c>
      <c r="S123" s="67" t="str">
        <f t="shared" si="105"/>
        <v>1+0,0211495495993634i</v>
      </c>
      <c r="T123" s="67">
        <f t="shared" si="118"/>
        <v>1.0002236267196731</v>
      </c>
      <c r="U123" s="67">
        <f t="shared" si="119"/>
        <v>2.1146397023260103E-2</v>
      </c>
      <c r="V123" t="str">
        <f t="shared" si="106"/>
        <v>1-0,00440615616653403i</v>
      </c>
      <c r="W123" s="67">
        <f t="shared" si="120"/>
        <v>1.0000097070589684</v>
      </c>
      <c r="X123" s="67">
        <f t="shared" si="121"/>
        <v>-4.4061276528492904E-3</v>
      </c>
      <c r="Y123" t="str">
        <f t="shared" si="107"/>
        <v>0,999999194287736+0,00764540970250098i</v>
      </c>
      <c r="Z123" s="67">
        <f t="shared" si="122"/>
        <v>1.0000284200289711</v>
      </c>
      <c r="AA123" s="67">
        <f t="shared" si="123"/>
        <v>7.6452669034699338E-3</v>
      </c>
      <c r="AB123" s="92" t="str">
        <f t="shared" si="124"/>
        <v>8,75978156823964-6,544562267436i</v>
      </c>
      <c r="AC123" s="37">
        <f t="shared" si="125"/>
        <v>20.776043166181136</v>
      </c>
      <c r="AD123" s="60">
        <f t="shared" si="126"/>
        <v>-36.763951997837978</v>
      </c>
      <c r="AE123" t="str">
        <f t="shared" si="127"/>
        <v>21,0353732052265</v>
      </c>
      <c r="AF123" t="str">
        <f t="shared" si="108"/>
        <v>1+0,380691892788541i</v>
      </c>
      <c r="AG123">
        <f t="shared" si="128"/>
        <v>1.0700122977026583</v>
      </c>
      <c r="AH123">
        <f t="shared" si="129"/>
        <v>0.36375146099690564</v>
      </c>
      <c r="AI123" t="str">
        <f t="shared" si="109"/>
        <v>1+0,0211495495993634i</v>
      </c>
      <c r="AJ123">
        <f t="shared" si="130"/>
        <v>1.0002236267196731</v>
      </c>
      <c r="AK123">
        <f t="shared" si="131"/>
        <v>2.1146397023260103E-2</v>
      </c>
      <c r="AL123" t="str">
        <f t="shared" si="110"/>
        <v>1-0,00143904457800346i</v>
      </c>
      <c r="AM123">
        <f t="shared" si="132"/>
        <v>1.0000010354241127</v>
      </c>
      <c r="AN123">
        <f t="shared" si="133"/>
        <v>-1.4390435846565431E-3</v>
      </c>
      <c r="AO123" s="58" t="str">
        <f t="shared" si="134"/>
        <v>18,5111083106339-6,6324110312011i</v>
      </c>
      <c r="AP123">
        <f t="shared" si="135"/>
        <v>25.873180223483487</v>
      </c>
      <c r="AQ123" s="60">
        <f t="shared" si="136"/>
        <v>-19.71227532943562</v>
      </c>
      <c r="AR123" t="str">
        <f t="shared" si="111"/>
        <v>-1,05811623246493</v>
      </c>
      <c r="AS123" t="str">
        <f t="shared" si="112"/>
        <v>1+0,0208449960851325i</v>
      </c>
      <c r="AT123">
        <f t="shared" si="137"/>
        <v>1.0002172333357335</v>
      </c>
      <c r="AU123">
        <f t="shared" si="138"/>
        <v>2.0841977725422269E-2</v>
      </c>
      <c r="AV123" t="str">
        <f t="shared" si="113"/>
        <v>1+0,0208449960851325i</v>
      </c>
      <c r="AW123">
        <f t="shared" si="139"/>
        <v>1.0002172333357335</v>
      </c>
      <c r="AX123">
        <f t="shared" si="140"/>
        <v>2.0841977725422269E-2</v>
      </c>
      <c r="AY123" t="str">
        <f t="shared" si="114"/>
        <v>1-1,22113457592351i</v>
      </c>
      <c r="AZ123">
        <f t="shared" si="141"/>
        <v>1.5783439588745829</v>
      </c>
      <c r="BA123">
        <f t="shared" si="142"/>
        <v>-0.88463044791142553</v>
      </c>
      <c r="BB123" s="58" t="str">
        <f t="shared" si="143"/>
        <v>-1,03073449630299+1,31358797334909i</v>
      </c>
      <c r="BC123">
        <f t="shared" si="144"/>
        <v>4.4528139250561667</v>
      </c>
      <c r="BD123" s="60">
        <f t="shared" si="145"/>
        <v>128.12025154553533</v>
      </c>
      <c r="BE123" s="58" t="str">
        <f t="shared" si="146"/>
        <v>-0,432150757125521+18,2524498094538i</v>
      </c>
      <c r="BF123" s="37">
        <f t="shared" si="147"/>
        <v>25.228857091237291</v>
      </c>
      <c r="BG123" s="60">
        <f t="shared" si="148"/>
        <v>91.356299547697361</v>
      </c>
      <c r="BH123" s="58" t="str">
        <f t="shared" si="149"/>
        <v>-10,3677825356777+31,1522240937305i</v>
      </c>
      <c r="BI123" s="37">
        <f t="shared" si="150"/>
        <v>30.325994148539642</v>
      </c>
      <c r="BJ123" s="60">
        <f t="shared" si="151"/>
        <v>108.4079762160997</v>
      </c>
      <c r="BK123">
        <f t="shared" si="152"/>
        <v>25.228857091237291</v>
      </c>
      <c r="BL123" s="60">
        <f t="shared" si="153"/>
        <v>91.356299547697361</v>
      </c>
      <c r="BN123">
        <f t="shared" si="154"/>
        <v>0</v>
      </c>
      <c r="BO123">
        <f t="shared" si="155"/>
        <v>0</v>
      </c>
    </row>
    <row r="124" spans="13:67" x14ac:dyDescent="0.25">
      <c r="M124" s="66">
        <v>6</v>
      </c>
      <c r="N124" s="36">
        <f t="shared" si="156"/>
        <v>114.81536214968835</v>
      </c>
      <c r="O124" s="91" t="str">
        <f t="shared" si="103"/>
        <v>13,7404580152672</v>
      </c>
      <c r="P124" s="67" t="str">
        <f t="shared" si="104"/>
        <v>1+0,779118692217219i</v>
      </c>
      <c r="Q124" s="67">
        <f t="shared" si="116"/>
        <v>1.2676852671551679</v>
      </c>
      <c r="R124" s="67">
        <f t="shared" si="117"/>
        <v>0.66187811892582826</v>
      </c>
      <c r="S124" s="67" t="str">
        <f t="shared" si="105"/>
        <v>1+0,0216421858949228i</v>
      </c>
      <c r="T124" s="67">
        <f t="shared" si="118"/>
        <v>1.0002341646886046</v>
      </c>
      <c r="U124" s="67">
        <f t="shared" si="119"/>
        <v>2.1638807891477485E-2</v>
      </c>
      <c r="V124" t="str">
        <f t="shared" si="106"/>
        <v>1-0,00450878872810891i</v>
      </c>
      <c r="W124" s="67">
        <f t="shared" si="120"/>
        <v>1.0000101645362385</v>
      </c>
      <c r="X124" s="67">
        <f t="shared" si="121"/>
        <v>-4.5087581751620202E-3</v>
      </c>
      <c r="Y124" t="str">
        <f t="shared" si="107"/>
        <v>0,999999156315687+0,00782349417168454i</v>
      </c>
      <c r="Z124" s="67">
        <f t="shared" si="122"/>
        <v>1.000029759403759</v>
      </c>
      <c r="AA124" s="67">
        <f t="shared" si="123"/>
        <v>7.823341160011878E-3</v>
      </c>
      <c r="AB124" s="92" t="str">
        <f t="shared" si="124"/>
        <v>8,61371504125547-6,58320236797128i</v>
      </c>
      <c r="AC124" s="37">
        <f t="shared" si="125"/>
        <v>20.701658822965676</v>
      </c>
      <c r="AD124" s="60">
        <f t="shared" si="126"/>
        <v>-37.389587645073462</v>
      </c>
      <c r="AE124" t="str">
        <f t="shared" si="127"/>
        <v>21,0353732052265</v>
      </c>
      <c r="AF124" t="str">
        <f t="shared" si="108"/>
        <v>1+0,38955934610861i</v>
      </c>
      <c r="AG124">
        <f t="shared" si="128"/>
        <v>1.0731991819511268</v>
      </c>
      <c r="AH124">
        <f t="shared" si="129"/>
        <v>0.37147353794839055</v>
      </c>
      <c r="AI124" t="str">
        <f t="shared" si="109"/>
        <v>1+0,0216421858949228i</v>
      </c>
      <c r="AJ124">
        <f t="shared" si="130"/>
        <v>1.0002341646886046</v>
      </c>
      <c r="AK124">
        <f t="shared" si="131"/>
        <v>2.1638807891477485E-2</v>
      </c>
      <c r="AL124" t="str">
        <f t="shared" si="110"/>
        <v>1-0,00147256423225056i</v>
      </c>
      <c r="AM124">
        <f t="shared" si="132"/>
        <v>1.0000010842221212</v>
      </c>
      <c r="AN124">
        <f t="shared" si="133"/>
        <v>-1.4725631678602241E-3</v>
      </c>
      <c r="AO124" s="58" t="str">
        <f t="shared" si="134"/>
        <v>18,4078183001011-6,74666214119097i</v>
      </c>
      <c r="AP124">
        <f t="shared" si="135"/>
        <v>25.847440880491391</v>
      </c>
      <c r="AQ124" s="60">
        <f t="shared" si="136"/>
        <v>-20.128425213944404</v>
      </c>
      <c r="AR124" t="str">
        <f t="shared" si="111"/>
        <v>-1,05811623246493</v>
      </c>
      <c r="AS124" t="str">
        <f t="shared" si="112"/>
        <v>1+0,0213305384180359i</v>
      </c>
      <c r="AT124">
        <f t="shared" si="137"/>
        <v>1.0002274700632869</v>
      </c>
      <c r="AU124">
        <f t="shared" si="138"/>
        <v>2.1327304227059713E-2</v>
      </c>
      <c r="AV124" t="str">
        <f t="shared" si="113"/>
        <v>1+0,0213305384180359i</v>
      </c>
      <c r="AW124">
        <f t="shared" si="139"/>
        <v>1.0002274700632869</v>
      </c>
      <c r="AX124">
        <f t="shared" si="140"/>
        <v>2.1327304227059713E-2</v>
      </c>
      <c r="AY124" t="str">
        <f t="shared" si="114"/>
        <v>1-1,19333815938854i</v>
      </c>
      <c r="AZ124">
        <f t="shared" si="141"/>
        <v>1.556938008609472</v>
      </c>
      <c r="BA124">
        <f t="shared" si="142"/>
        <v>-0.87331882029978602</v>
      </c>
      <c r="BB124" s="58" t="str">
        <f t="shared" si="143"/>
        <v>-1,03071339851366+1,28467614901382i</v>
      </c>
      <c r="BC124">
        <f t="shared" si="144"/>
        <v>4.3341184019549104</v>
      </c>
      <c r="BD124" s="60">
        <f t="shared" si="145"/>
        <v>128.74055290687627</v>
      </c>
      <c r="BE124" s="58" t="str">
        <f t="shared" si="146"/>
        <v>-0,42098843773665+17,8512291536973i</v>
      </c>
      <c r="BF124" s="37">
        <f t="shared" si="147"/>
        <v>25.035777224920565</v>
      </c>
      <c r="BG124" s="60">
        <f t="shared" si="148"/>
        <v>91.350965261802813</v>
      </c>
      <c r="BH124" s="58" t="str">
        <f t="shared" si="149"/>
        <v>-10,3059090210766+30,6019601896904i</v>
      </c>
      <c r="BI124" s="37">
        <f t="shared" si="150"/>
        <v>30.181559282446301</v>
      </c>
      <c r="BJ124" s="60">
        <f t="shared" si="151"/>
        <v>108.61212769293185</v>
      </c>
      <c r="BK124">
        <f t="shared" si="152"/>
        <v>25.035777224920565</v>
      </c>
      <c r="BL124" s="60">
        <f t="shared" si="153"/>
        <v>91.350965261802813</v>
      </c>
      <c r="BN124">
        <f t="shared" si="154"/>
        <v>0</v>
      </c>
      <c r="BO124">
        <f t="shared" si="155"/>
        <v>0</v>
      </c>
    </row>
    <row r="125" spans="13:67" x14ac:dyDescent="0.25">
      <c r="M125" s="66">
        <v>7</v>
      </c>
      <c r="N125" s="36">
        <f t="shared" si="156"/>
        <v>117.48975549395293</v>
      </c>
      <c r="O125" s="91" t="str">
        <f t="shared" si="103"/>
        <v>13,7404580152672</v>
      </c>
      <c r="P125" s="67" t="str">
        <f t="shared" si="104"/>
        <v>1+0,797266697900825i</v>
      </c>
      <c r="Q125" s="67">
        <f t="shared" si="116"/>
        <v>1.2789191481800894</v>
      </c>
      <c r="R125" s="67">
        <f t="shared" si="117"/>
        <v>0.67307207101319555</v>
      </c>
      <c r="S125" s="67" t="str">
        <f t="shared" si="105"/>
        <v>1+0,0221462971639118i</v>
      </c>
      <c r="T125" s="67">
        <f t="shared" si="118"/>
        <v>1.0002451991777177</v>
      </c>
      <c r="U125" s="67">
        <f t="shared" si="119"/>
        <v>2.2142677615927593E-2</v>
      </c>
      <c r="V125" t="str">
        <f t="shared" si="106"/>
        <v>1-0,00461381190914829i</v>
      </c>
      <c r="W125" s="67">
        <f t="shared" si="120"/>
        <v>1.0000106435735236</v>
      </c>
      <c r="X125" s="67">
        <f t="shared" si="121"/>
        <v>-4.6137791710946854E-3</v>
      </c>
      <c r="Y125" t="str">
        <f t="shared" si="107"/>
        <v>0,999999116554071+0,0080057267610341i</v>
      </c>
      <c r="Z125" s="67">
        <f t="shared" si="122"/>
        <v>1.0000311618994155</v>
      </c>
      <c r="AA125" s="67">
        <f t="shared" si="123"/>
        <v>8.0055628063487837E-3</v>
      </c>
      <c r="AB125" s="92" t="str">
        <f t="shared" si="124"/>
        <v>8,46599456376874-6,61877311515378i</v>
      </c>
      <c r="AC125" s="37">
        <f t="shared" si="125"/>
        <v>20.625113689867113</v>
      </c>
      <c r="AD125" s="60">
        <f t="shared" si="126"/>
        <v>-38.018542038214058</v>
      </c>
      <c r="AE125" t="str">
        <f t="shared" si="127"/>
        <v>21,0353732052265</v>
      </c>
      <c r="AF125" t="str">
        <f t="shared" si="108"/>
        <v>1+0,398633348950413i</v>
      </c>
      <c r="AG125">
        <f t="shared" si="128"/>
        <v>1.076526147799217</v>
      </c>
      <c r="AH125">
        <f t="shared" si="129"/>
        <v>0.37932767472735318</v>
      </c>
      <c r="AI125" t="str">
        <f t="shared" si="109"/>
        <v>1+0,0221462971639118i</v>
      </c>
      <c r="AJ125">
        <f t="shared" si="130"/>
        <v>1.0002451991777177</v>
      </c>
      <c r="AK125">
        <f t="shared" si="131"/>
        <v>2.2142677615927593E-2</v>
      </c>
      <c r="AL125" t="str">
        <f t="shared" si="110"/>
        <v>1-0,00150686465954528i</v>
      </c>
      <c r="AM125">
        <f t="shared" si="132"/>
        <v>1.0000011353199068</v>
      </c>
      <c r="AN125">
        <f t="shared" si="133"/>
        <v>-1.5068635190305568E-3</v>
      </c>
      <c r="AO125" s="58" t="str">
        <f t="shared" si="134"/>
        <v>18,3009653064509-6,86121692366241i</v>
      </c>
      <c r="AP125">
        <f t="shared" si="135"/>
        <v>25.820652147092709</v>
      </c>
      <c r="AQ125" s="60">
        <f t="shared" si="136"/>
        <v>-20.551529759819864</v>
      </c>
      <c r="AR125" t="str">
        <f t="shared" si="111"/>
        <v>-1,05811623246493</v>
      </c>
      <c r="AS125" t="str">
        <f t="shared" si="112"/>
        <v>1+0,0218273904847515i</v>
      </c>
      <c r="AT125">
        <f t="shared" si="137"/>
        <v>1.0002381891206584</v>
      </c>
      <c r="AU125">
        <f t="shared" si="138"/>
        <v>2.1823925031252835E-2</v>
      </c>
      <c r="AV125" t="str">
        <f t="shared" si="113"/>
        <v>1+0,0218273904847515i</v>
      </c>
      <c r="AW125">
        <f t="shared" si="139"/>
        <v>1.0002381891206584</v>
      </c>
      <c r="AX125">
        <f t="shared" si="140"/>
        <v>2.1823925031252835E-2</v>
      </c>
      <c r="AY125" t="str">
        <f t="shared" si="114"/>
        <v>1-1,16617446654138i</v>
      </c>
      <c r="AZ125">
        <f t="shared" si="141"/>
        <v>1.5362170700825688</v>
      </c>
      <c r="BA125">
        <f t="shared" si="142"/>
        <v>-0.86196154272961689</v>
      </c>
      <c r="BB125" s="58" t="str">
        <f t="shared" si="143"/>
        <v>-1,03069130734183+1,25644543456815i</v>
      </c>
      <c r="BC125">
        <f t="shared" si="144"/>
        <v>4.2176506317433864</v>
      </c>
      <c r="BD125" s="60">
        <f t="shared" si="145"/>
        <v>129.36282270230703</v>
      </c>
      <c r="BE125" s="58" t="str">
        <f t="shared" si="146"/>
        <v>-0,40969974190225+17,4589721337828i</v>
      </c>
      <c r="BF125" s="37">
        <f t="shared" si="147"/>
        <v>24.842764321610492</v>
      </c>
      <c r="BG125" s="60">
        <f t="shared" si="148"/>
        <v>91.344280664092963</v>
      </c>
      <c r="BH125" s="58" t="str">
        <f t="shared" si="149"/>
        <v>-10,241901178006+30,0659609484858i</v>
      </c>
      <c r="BI125" s="37">
        <f t="shared" si="150"/>
        <v>30.038302778836083</v>
      </c>
      <c r="BJ125" s="60">
        <f t="shared" si="151"/>
        <v>108.8112929424872</v>
      </c>
      <c r="BK125">
        <f t="shared" si="152"/>
        <v>24.842764321610492</v>
      </c>
      <c r="BL125" s="60">
        <f t="shared" si="153"/>
        <v>91.344280664092963</v>
      </c>
      <c r="BN125">
        <f t="shared" si="154"/>
        <v>0</v>
      </c>
      <c r="BO125">
        <f t="shared" si="155"/>
        <v>0</v>
      </c>
    </row>
    <row r="126" spans="13:67" x14ac:dyDescent="0.25">
      <c r="M126" s="66">
        <v>8</v>
      </c>
      <c r="N126" s="36">
        <f t="shared" si="156"/>
        <v>120.22644346174135</v>
      </c>
      <c r="O126" s="91" t="str">
        <f t="shared" si="103"/>
        <v>13,7404580152672</v>
      </c>
      <c r="P126" s="67" t="str">
        <f t="shared" si="104"/>
        <v>1+0,815837424940733i</v>
      </c>
      <c r="Q126" s="67">
        <f t="shared" si="116"/>
        <v>1.2905776628835346</v>
      </c>
      <c r="R126" s="67">
        <f t="shared" si="117"/>
        <v>0.68432358167701246</v>
      </c>
      <c r="S126" s="67" t="str">
        <f t="shared" si="105"/>
        <v>1+0,0226621506927982i</v>
      </c>
      <c r="T126" s="67">
        <f t="shared" si="118"/>
        <v>1.0002567535758122</v>
      </c>
      <c r="U126" s="67">
        <f t="shared" si="119"/>
        <v>2.2658272331022956E-2</v>
      </c>
      <c r="V126" t="str">
        <f t="shared" si="106"/>
        <v>1-0,00472128139433294i</v>
      </c>
      <c r="W126" s="67">
        <f t="shared" si="120"/>
        <v>1.0000111451868947</v>
      </c>
      <c r="X126" s="67">
        <f t="shared" si="121"/>
        <v>-4.721246314897602E-3</v>
      </c>
      <c r="Y126" t="str">
        <f t="shared" si="107"/>
        <v>0,999999074918547+0,00819220409268071i</v>
      </c>
      <c r="Z126" s="67">
        <f t="shared" si="122"/>
        <v>1.0000326304905485</v>
      </c>
      <c r="AA126" s="67">
        <f t="shared" si="123"/>
        <v>8.1920284123797437E-3</v>
      </c>
      <c r="AB126" s="92" t="str">
        <f t="shared" si="124"/>
        <v>8,31675106548959-6,65118666056211i</v>
      </c>
      <c r="AC126" s="37">
        <f t="shared" si="125"/>
        <v>20.546384538331552</v>
      </c>
      <c r="AD126" s="60">
        <f t="shared" si="126"/>
        <v>-38.650505817309181</v>
      </c>
      <c r="AE126" t="str">
        <f t="shared" si="127"/>
        <v>21,0353732052265</v>
      </c>
      <c r="AF126" t="str">
        <f t="shared" si="108"/>
        <v>1+0,407918712470367i</v>
      </c>
      <c r="AG126">
        <f t="shared" si="128"/>
        <v>1.0799989240658909</v>
      </c>
      <c r="AH126">
        <f t="shared" si="129"/>
        <v>0.3873141586562342</v>
      </c>
      <c r="AI126" t="str">
        <f t="shared" si="109"/>
        <v>1+0,0226621506927982i</v>
      </c>
      <c r="AJ126">
        <f t="shared" si="130"/>
        <v>1.0002567535758122</v>
      </c>
      <c r="AK126">
        <f t="shared" si="131"/>
        <v>2.2658272331022956E-2</v>
      </c>
      <c r="AL126" t="str">
        <f t="shared" si="110"/>
        <v>1-0,00154196404642821i</v>
      </c>
      <c r="AM126">
        <f t="shared" si="132"/>
        <v>1.0000011888258535</v>
      </c>
      <c r="AN126">
        <f t="shared" si="133"/>
        <v>-1.5419628243447446E-3</v>
      </c>
      <c r="AO126" s="58" t="str">
        <f t="shared" si="134"/>
        <v>18,1904809693319-6,97596656795615i</v>
      </c>
      <c r="AP126">
        <f t="shared" si="135"/>
        <v>25.792778148113406</v>
      </c>
      <c r="AQ126" s="60">
        <f t="shared" si="136"/>
        <v>-20.981591223037945</v>
      </c>
      <c r="AR126" t="str">
        <f t="shared" si="111"/>
        <v>-1,05811623246493</v>
      </c>
      <c r="AS126" t="str">
        <f t="shared" si="112"/>
        <v>1+0,0223358157228218i</v>
      </c>
      <c r="AT126">
        <f t="shared" si="137"/>
        <v>1.0002494132285227</v>
      </c>
      <c r="AU126">
        <f t="shared" si="138"/>
        <v>2.2332102472502408E-2</v>
      </c>
      <c r="AV126" t="str">
        <f t="shared" si="113"/>
        <v>1+0,0223358157228218i</v>
      </c>
      <c r="AW126">
        <f t="shared" si="139"/>
        <v>1.0002494132285227</v>
      </c>
      <c r="AX126">
        <f t="shared" si="140"/>
        <v>2.2332102472502408E-2</v>
      </c>
      <c r="AY126" t="str">
        <f t="shared" si="114"/>
        <v>1-1,13962909483252i</v>
      </c>
      <c r="AZ126">
        <f t="shared" si="141"/>
        <v>1.5161643953703665</v>
      </c>
      <c r="BA126">
        <f t="shared" si="142"/>
        <v>-0.85056431219289363</v>
      </c>
      <c r="BB126" s="58" t="str">
        <f t="shared" si="143"/>
        <v>-1,03066817606007+1,22888085868345i</v>
      </c>
      <c r="BC126">
        <f t="shared" si="144"/>
        <v>4.1034273071673111</v>
      </c>
      <c r="BD126" s="60">
        <f t="shared" si="145"/>
        <v>129.98671948757152</v>
      </c>
      <c r="BE126" s="58" t="str">
        <f t="shared" si="146"/>
        <v>-0,398294676718326+17,075462614892i</v>
      </c>
      <c r="BF126" s="37">
        <f t="shared" si="147"/>
        <v>24.649811845498881</v>
      </c>
      <c r="BG126" s="60">
        <f t="shared" si="148"/>
        <v>91.336213670262325</v>
      </c>
      <c r="BH126" s="58" t="str">
        <f t="shared" si="149"/>
        <v>-10,1757180561397+29,5438406123089i</v>
      </c>
      <c r="BI126" s="37">
        <f t="shared" si="150"/>
        <v>29.896205455280707</v>
      </c>
      <c r="BJ126" s="60">
        <f t="shared" si="151"/>
        <v>109.00512826453352</v>
      </c>
      <c r="BK126">
        <f t="shared" si="152"/>
        <v>24.649811845498881</v>
      </c>
      <c r="BL126" s="60">
        <f t="shared" si="153"/>
        <v>91.336213670262325</v>
      </c>
      <c r="BN126">
        <f t="shared" si="154"/>
        <v>0</v>
      </c>
      <c r="BO126">
        <f t="shared" si="155"/>
        <v>0</v>
      </c>
    </row>
    <row r="127" spans="13:67" x14ac:dyDescent="0.25">
      <c r="M127" s="66">
        <v>9</v>
      </c>
      <c r="N127" s="36">
        <f t="shared" si="156"/>
        <v>123.02687708123821</v>
      </c>
      <c r="O127" s="91" t="str">
        <f t="shared" si="103"/>
        <v>13,7404580152672</v>
      </c>
      <c r="P127" s="67" t="str">
        <f t="shared" si="104"/>
        <v>1+0,834840719782227i</v>
      </c>
      <c r="Q127" s="67">
        <f t="shared" si="116"/>
        <v>1.3026737993091391</v>
      </c>
      <c r="R127" s="67">
        <f t="shared" si="117"/>
        <v>0.69562722207075489</v>
      </c>
      <c r="S127" s="67" t="str">
        <f t="shared" si="105"/>
        <v>1+0,0231900199939508i</v>
      </c>
      <c r="T127" s="67">
        <f t="shared" si="118"/>
        <v>1.0002688523728607</v>
      </c>
      <c r="U127" s="67">
        <f t="shared" si="119"/>
        <v>2.3185864314760413E-2</v>
      </c>
      <c r="V127" t="str">
        <f t="shared" si="106"/>
        <v>1-0,00483125416540641i</v>
      </c>
      <c r="W127" s="67">
        <f t="shared" si="120"/>
        <v>1.0000116704403057</v>
      </c>
      <c r="X127" s="67">
        <f t="shared" si="121"/>
        <v>-4.8312165771379201E-3</v>
      </c>
      <c r="Y127" t="str">
        <f t="shared" si="107"/>
        <v>0,999999031320801+0,00838302503937388i</v>
      </c>
      <c r="Z127" s="67">
        <f t="shared" si="122"/>
        <v>1.0000341682919396</v>
      </c>
      <c r="AA127" s="67">
        <f t="shared" si="123"/>
        <v>8.3828367948871486E-3</v>
      </c>
      <c r="AB127" s="92" t="str">
        <f t="shared" si="124"/>
        <v>8,16612144876173-6,68036197573543i</v>
      </c>
      <c r="AC127" s="37">
        <f t="shared" si="125"/>
        <v>20.465450122479862</v>
      </c>
      <c r="AD127" s="60">
        <f t="shared" si="126"/>
        <v>-39.285161257942804</v>
      </c>
      <c r="AE127" t="str">
        <f t="shared" si="127"/>
        <v>21,0353732052265</v>
      </c>
      <c r="AF127" t="str">
        <f t="shared" si="108"/>
        <v>1+0,417420359891114i</v>
      </c>
      <c r="AG127">
        <f t="shared" si="128"/>
        <v>1.0836234386776742</v>
      </c>
      <c r="AH127">
        <f t="shared" si="129"/>
        <v>0.39543314795933066</v>
      </c>
      <c r="AI127" t="str">
        <f t="shared" si="109"/>
        <v>1+0,0231900199939508i</v>
      </c>
      <c r="AJ127">
        <f t="shared" si="130"/>
        <v>1.0002688523728607</v>
      </c>
      <c r="AK127">
        <f t="shared" si="131"/>
        <v>2.3185864314760413E-2</v>
      </c>
      <c r="AL127" t="str">
        <f t="shared" si="110"/>
        <v>1-0,00157788100305886i</v>
      </c>
      <c r="AM127">
        <f t="shared" si="132"/>
        <v>1.000001244853455</v>
      </c>
      <c r="AN127">
        <f t="shared" si="133"/>
        <v>-1.5778796935729221E-3</v>
      </c>
      <c r="AO127" s="58" t="str">
        <f t="shared" si="134"/>
        <v>18,0763001645544-7,09079631075148i</v>
      </c>
      <c r="AP127">
        <f t="shared" si="135"/>
        <v>25.763782348245385</v>
      </c>
      <c r="AQ127" s="60">
        <f t="shared" si="136"/>
        <v>-21.418604135064282</v>
      </c>
      <c r="AR127" t="str">
        <f t="shared" si="111"/>
        <v>-1,05811623246493</v>
      </c>
      <c r="AS127" t="str">
        <f t="shared" si="112"/>
        <v>1+0,0228560837060379i</v>
      </c>
      <c r="AT127">
        <f t="shared" si="137"/>
        <v>1.0002611661773027</v>
      </c>
      <c r="AU127">
        <f t="shared" si="138"/>
        <v>2.2852104942741116E-2</v>
      </c>
      <c r="AV127" t="str">
        <f t="shared" si="113"/>
        <v>1+0,0228560837060379i</v>
      </c>
      <c r="AW127">
        <f t="shared" si="139"/>
        <v>1.0002611661773027</v>
      </c>
      <c r="AX127">
        <f t="shared" si="140"/>
        <v>2.2852104942741116E-2</v>
      </c>
      <c r="AY127" t="str">
        <f t="shared" si="114"/>
        <v>1-1,11368796955452i</v>
      </c>
      <c r="AZ127">
        <f t="shared" si="141"/>
        <v>1.4967634728074004</v>
      </c>
      <c r="BA127">
        <f t="shared" si="142"/>
        <v>-0.83913292855369215</v>
      </c>
      <c r="BB127" s="58" t="str">
        <f t="shared" si="143"/>
        <v>-1,03064395574737+1,20196780301023i</v>
      </c>
      <c r="BC127">
        <f t="shared" si="144"/>
        <v>3.9914628947349868</v>
      </c>
      <c r="BD127" s="60">
        <f t="shared" si="145"/>
        <v>130.61189557721158</v>
      </c>
      <c r="BE127" s="58" t="str">
        <f t="shared" si="146"/>
        <v>-0,386783705777439+16,7004897493791i</v>
      </c>
      <c r="BF127" s="37">
        <f t="shared" si="147"/>
        <v>24.456913017214834</v>
      </c>
      <c r="BG127" s="60">
        <f t="shared" si="148"/>
        <v>91.326734319268795</v>
      </c>
      <c r="BH127" s="58" t="str">
        <f t="shared" si="149"/>
        <v>-10,1073206436462+29,0352171544547i</v>
      </c>
      <c r="BI127" s="37">
        <f t="shared" si="150"/>
        <v>29.755245242980379</v>
      </c>
      <c r="BJ127" s="60">
        <f t="shared" si="151"/>
        <v>109.19329144214734</v>
      </c>
      <c r="BK127">
        <f t="shared" si="152"/>
        <v>24.456913017214834</v>
      </c>
      <c r="BL127" s="60">
        <f t="shared" si="153"/>
        <v>91.326734319268795</v>
      </c>
      <c r="BN127">
        <f t="shared" si="154"/>
        <v>0</v>
      </c>
      <c r="BO127">
        <f t="shared" si="155"/>
        <v>0</v>
      </c>
    </row>
    <row r="128" spans="13:67" x14ac:dyDescent="0.25">
      <c r="M128" s="66">
        <v>10</v>
      </c>
      <c r="N128" s="36">
        <f t="shared" si="156"/>
        <v>125.89254117941677</v>
      </c>
      <c r="O128" s="91" t="str">
        <f t="shared" si="103"/>
        <v>13,7404580152672</v>
      </c>
      <c r="P128" s="67" t="str">
        <f t="shared" si="104"/>
        <v>1+0,854286658223773i</v>
      </c>
      <c r="Q128" s="67">
        <f t="shared" si="116"/>
        <v>1.315220777823686</v>
      </c>
      <c r="R128" s="67">
        <f t="shared" si="117"/>
        <v>0.70697743194344975</v>
      </c>
      <c r="S128" s="67" t="str">
        <f t="shared" si="105"/>
        <v>1+0,0237301849506604i</v>
      </c>
      <c r="T128" s="67">
        <f t="shared" si="118"/>
        <v>1.0002815212117999</v>
      </c>
      <c r="U128" s="67">
        <f t="shared" si="119"/>
        <v>2.3725732127864316E-2</v>
      </c>
      <c r="V128" t="str">
        <f t="shared" si="106"/>
        <v>1-0,00494378853138758i</v>
      </c>
      <c r="W128" s="67">
        <f t="shared" si="120"/>
        <v>1.0000122204478519</v>
      </c>
      <c r="X128" s="67">
        <f t="shared" si="121"/>
        <v>-4.9437482548588254E-3</v>
      </c>
      <c r="Y128" t="str">
        <f t="shared" si="107"/>
        <v>0,999998985668357+0,00857829077690538i</v>
      </c>
      <c r="Z128" s="67">
        <f t="shared" si="122"/>
        <v>1.0000357785651453</v>
      </c>
      <c r="AA128" s="67">
        <f t="shared" si="123"/>
        <v>8.5780890696934165E-3</v>
      </c>
      <c r="AB128" s="92" t="str">
        <f t="shared" si="124"/>
        <v>8,01424813357128-6,70622533450437i</v>
      </c>
      <c r="AC128" s="37">
        <f t="shared" si="125"/>
        <v>20.382291264236876</v>
      </c>
      <c r="AD128" s="60">
        <f t="shared" si="126"/>
        <v>-39.922182954531827</v>
      </c>
      <c r="AE128" t="str">
        <f t="shared" si="127"/>
        <v>21,0353732052265</v>
      </c>
      <c r="AF128" t="str">
        <f t="shared" si="108"/>
        <v>1+0,427143329111887i</v>
      </c>
      <c r="AG128">
        <f t="shared" si="128"/>
        <v>1.087405822866875</v>
      </c>
      <c r="AH128">
        <f t="shared" si="129"/>
        <v>0.4036846648849699</v>
      </c>
      <c r="AI128" t="str">
        <f t="shared" si="109"/>
        <v>1+0,0237301849506604i</v>
      </c>
      <c r="AJ128">
        <f t="shared" si="130"/>
        <v>1.0002815212117999</v>
      </c>
      <c r="AK128">
        <f t="shared" si="131"/>
        <v>2.3725732127864316E-2</v>
      </c>
      <c r="AL128" t="str">
        <f t="shared" si="110"/>
        <v>1-0,00161463457308306i</v>
      </c>
      <c r="AM128">
        <f t="shared" si="132"/>
        <v>1.0000013035215527</v>
      </c>
      <c r="AN128">
        <f t="shared" si="133"/>
        <v>-1.6146331699436964E-3</v>
      </c>
      <c r="AO128" s="58" t="str">
        <f t="shared" si="134"/>
        <v>17,9583614372634-7,2055854338759i</v>
      </c>
      <c r="AP128">
        <f t="shared" si="135"/>
        <v>25.733627587111126</v>
      </c>
      <c r="AQ128" s="60">
        <f t="shared" si="136"/>
        <v>-21.862554901376814</v>
      </c>
      <c r="AR128" t="str">
        <f t="shared" si="111"/>
        <v>-1,05811623246493</v>
      </c>
      <c r="AS128" t="str">
        <f t="shared" si="112"/>
        <v>1+0,0233884702873709i</v>
      </c>
      <c r="AT128">
        <f t="shared" si="137"/>
        <v>1.0002734728774842</v>
      </c>
      <c r="AU128">
        <f t="shared" si="138"/>
        <v>2.3384207028636805E-2</v>
      </c>
      <c r="AV128" t="str">
        <f t="shared" si="113"/>
        <v>1+0,0233884702873709i</v>
      </c>
      <c r="AW128">
        <f t="shared" si="139"/>
        <v>1.0002734728774842</v>
      </c>
      <c r="AX128">
        <f t="shared" si="140"/>
        <v>2.3384207028636805E-2</v>
      </c>
      <c r="AY128" t="str">
        <f t="shared" si="114"/>
        <v>1-1,08833733637938i</v>
      </c>
      <c r="AZ128">
        <f t="shared" si="141"/>
        <v>1.4779980235972456</v>
      </c>
      <c r="BA128">
        <f t="shared" si="142"/>
        <v>-0.82767328030559406</v>
      </c>
      <c r="BB128" s="58" t="str">
        <f t="shared" si="143"/>
        <v>-1,03061859518653+1,1756919944118i</v>
      </c>
      <c r="BC128">
        <f t="shared" si="144"/>
        <v>3.8817695739864622</v>
      </c>
      <c r="BD128" s="60">
        <f t="shared" si="145"/>
        <v>131.23799785274005</v>
      </c>
      <c r="BE128" s="58" t="str">
        <f t="shared" si="146"/>
        <v>-0,37517771439912+16,3338479051207i</v>
      </c>
      <c r="BF128" s="37">
        <f t="shared" si="147"/>
        <v>24.264060838223354</v>
      </c>
      <c r="BG128" s="60">
        <f t="shared" si="148"/>
        <v>91.315814898208203</v>
      </c>
      <c r="BH128" s="58" t="str">
        <f t="shared" si="149"/>
        <v>-10,0366721266662+28,5397121119019i</v>
      </c>
      <c r="BI128" s="37">
        <f t="shared" si="150"/>
        <v>29.615397161097597</v>
      </c>
      <c r="BJ128" s="60">
        <f t="shared" si="151"/>
        <v>109.37544295136323</v>
      </c>
      <c r="BK128">
        <f t="shared" si="152"/>
        <v>24.264060838223354</v>
      </c>
      <c r="BL128" s="60">
        <f t="shared" si="153"/>
        <v>91.315814898208203</v>
      </c>
      <c r="BN128">
        <f t="shared" si="154"/>
        <v>0</v>
      </c>
      <c r="BO128">
        <f t="shared" si="155"/>
        <v>0</v>
      </c>
    </row>
    <row r="129" spans="13:67" x14ac:dyDescent="0.25">
      <c r="M129" s="66">
        <v>11</v>
      </c>
      <c r="N129" s="36">
        <f t="shared" si="156"/>
        <v>128.82495516931343</v>
      </c>
      <c r="O129" s="91" t="str">
        <f t="shared" si="103"/>
        <v>13,7404580152672</v>
      </c>
      <c r="P129" s="67" t="str">
        <f t="shared" si="104"/>
        <v>1+0,874185550759331i</v>
      </c>
      <c r="Q129" s="67">
        <f t="shared" si="116"/>
        <v>1.3282320494388</v>
      </c>
      <c r="R129" s="67">
        <f t="shared" si="117"/>
        <v>0.71836853241070875</v>
      </c>
      <c r="S129" s="67" t="str">
        <f t="shared" si="105"/>
        <v>1+0,024282931965537i</v>
      </c>
      <c r="T129" s="67">
        <f t="shared" si="118"/>
        <v>1.0002947869427505</v>
      </c>
      <c r="U129" s="67">
        <f t="shared" si="119"/>
        <v>2.4278160755886721E-2</v>
      </c>
      <c r="V129" t="str">
        <f t="shared" si="106"/>
        <v>1-0,00505894415948687i</v>
      </c>
      <c r="W129" s="67">
        <f t="shared" si="120"/>
        <v>1.0000127963761307</v>
      </c>
      <c r="X129" s="67">
        <f t="shared" si="121"/>
        <v>-5.0589010024385877E-3</v>
      </c>
      <c r="Y129" t="str">
        <f t="shared" si="107"/>
        <v>0,999998937864379+0,0087781048377539i</v>
      </c>
      <c r="Z129" s="67">
        <f t="shared" si="122"/>
        <v>1.0000374647254116</v>
      </c>
      <c r="AA129" s="67">
        <f t="shared" si="123"/>
        <v>8.7778887050195004E-3</v>
      </c>
      <c r="AB129" s="92" t="str">
        <f t="shared" si="124"/>
        <v>7,86127855701973-6,72871075931365i</v>
      </c>
      <c r="AC129" s="37">
        <f t="shared" si="125"/>
        <v>20.296890931435616</v>
      </c>
      <c r="AD129" s="60">
        <f t="shared" si="126"/>
        <v>-40.561238548735453</v>
      </c>
      <c r="AE129" t="str">
        <f t="shared" si="127"/>
        <v>21,0353732052265</v>
      </c>
      <c r="AF129" t="str">
        <f t="shared" si="108"/>
        <v>1+0,437092775379666i</v>
      </c>
      <c r="AG129">
        <f t="shared" si="128"/>
        <v>1.09135241525783</v>
      </c>
      <c r="AH129">
        <f t="shared" si="129"/>
        <v>0.4120685888421064</v>
      </c>
      <c r="AI129" t="str">
        <f t="shared" si="109"/>
        <v>1+0,024282931965537i</v>
      </c>
      <c r="AJ129">
        <f t="shared" si="130"/>
        <v>1.0002947869427505</v>
      </c>
      <c r="AK129">
        <f t="shared" si="131"/>
        <v>2.4278160755886721E-2</v>
      </c>
      <c r="AL129" t="str">
        <f t="shared" si="110"/>
        <v>1-0,00165224424373013i</v>
      </c>
      <c r="AM129">
        <f t="shared" si="132"/>
        <v>1.0000013649545889</v>
      </c>
      <c r="AN129">
        <f t="shared" si="133"/>
        <v>-1.6522427402393249E-3</v>
      </c>
      <c r="AO129" s="58" t="str">
        <f t="shared" si="134"/>
        <v>17,836607450882-7,3202072919445i</v>
      </c>
      <c r="AP129">
        <f t="shared" si="135"/>
        <v>25.702276118773678</v>
      </c>
      <c r="AQ129" s="60">
        <f t="shared" si="136"/>
        <v>-22.313421400658697</v>
      </c>
      <c r="AR129" t="str">
        <f t="shared" si="111"/>
        <v>-1,05811623246493</v>
      </c>
      <c r="AS129" t="str">
        <f t="shared" si="112"/>
        <v>1+0,0239332577452332i</v>
      </c>
      <c r="AT129">
        <f t="shared" si="137"/>
        <v>1.0002863594122933</v>
      </c>
      <c r="AU129">
        <f t="shared" si="138"/>
        <v>2.3928689651824226E-2</v>
      </c>
      <c r="AV129" t="str">
        <f t="shared" si="113"/>
        <v>1+0,0239332577452332i</v>
      </c>
      <c r="AW129">
        <f t="shared" si="139"/>
        <v>1.0002863594122933</v>
      </c>
      <c r="AX129">
        <f t="shared" si="140"/>
        <v>2.3928689651824226E-2</v>
      </c>
      <c r="AY129" t="str">
        <f t="shared" si="114"/>
        <v>1-1,06356375406583i</v>
      </c>
      <c r="AZ129">
        <f t="shared" si="141"/>
        <v>1.4598519989925696</v>
      </c>
      <c r="BA129">
        <f t="shared" si="142"/>
        <v>-0.81619132977383102</v>
      </c>
      <c r="BB129" s="58" t="str">
        <f t="shared" si="143"/>
        <v>-1,03059204075694+1,15003949738001i</v>
      </c>
      <c r="BC129">
        <f t="shared" si="144"/>
        <v>3.7743571856388498</v>
      </c>
      <c r="BD129" s="60">
        <f t="shared" si="145"/>
        <v>131.86466860246145</v>
      </c>
      <c r="BE129" s="58" t="str">
        <f t="shared" si="146"/>
        <v>-0,3634879713812+15,9753365935835i</v>
      </c>
      <c r="BF129" s="37">
        <f t="shared" si="147"/>
        <v>24.071248117074489</v>
      </c>
      <c r="BG129" s="60">
        <f t="shared" si="148"/>
        <v>91.303430053726004</v>
      </c>
      <c r="BH129" s="58" t="str">
        <f t="shared" si="149"/>
        <v>-9,96373815823958+28,0569504395458i</v>
      </c>
      <c r="BI129" s="37">
        <f t="shared" si="150"/>
        <v>29.476633304412523</v>
      </c>
      <c r="BJ129" s="60">
        <f t="shared" si="151"/>
        <v>109.55124720180275</v>
      </c>
      <c r="BK129">
        <f t="shared" si="152"/>
        <v>24.071248117074489</v>
      </c>
      <c r="BL129" s="60">
        <f t="shared" si="153"/>
        <v>91.303430053726004</v>
      </c>
      <c r="BN129">
        <f t="shared" si="154"/>
        <v>0</v>
      </c>
      <c r="BO129">
        <f t="shared" si="155"/>
        <v>0</v>
      </c>
    </row>
    <row r="130" spans="13:67" x14ac:dyDescent="0.25">
      <c r="M130" s="66">
        <v>12</v>
      </c>
      <c r="N130" s="36">
        <f t="shared" si="156"/>
        <v>131.82567385564084</v>
      </c>
      <c r="O130" s="91" t="str">
        <f t="shared" si="103"/>
        <v>13,7404580152672</v>
      </c>
      <c r="P130" s="67" t="str">
        <f t="shared" si="104"/>
        <v>1+0,894547948045116i</v>
      </c>
      <c r="Q130" s="67">
        <f t="shared" si="116"/>
        <v>1.3417212942156531</v>
      </c>
      <c r="R130" s="67">
        <f t="shared" si="117"/>
        <v>0.72979473944889328</v>
      </c>
      <c r="S130" s="67" t="str">
        <f t="shared" si="105"/>
        <v>1+0,0248485541123644i</v>
      </c>
      <c r="T130" s="67">
        <f t="shared" si="118"/>
        <v>1.0003086776797825</v>
      </c>
      <c r="U130" s="67">
        <f t="shared" si="119"/>
        <v>2.4843441754315909E-2</v>
      </c>
      <c r="V130" t="str">
        <f t="shared" si="106"/>
        <v>1-0,00517678210674257i</v>
      </c>
      <c r="W130" s="67">
        <f t="shared" si="120"/>
        <v>1.0000133994467177</v>
      </c>
      <c r="X130" s="67">
        <f t="shared" si="121"/>
        <v>-5.176735863165644E-3</v>
      </c>
      <c r="Y130" t="str">
        <f t="shared" si="107"/>
        <v>0,99999888780747+0,00898257316597937i</v>
      </c>
      <c r="Z130" s="67">
        <f t="shared" si="122"/>
        <v>1.0000392303489196</v>
      </c>
      <c r="AA130" s="67">
        <f t="shared" si="123"/>
        <v>8.9823415760725313E-3</v>
      </c>
      <c r="AB130" s="92" t="str">
        <f t="shared" si="124"/>
        <v>7,70736463061155-6,7477604266286i</v>
      </c>
      <c r="AC130" s="37">
        <f t="shared" si="125"/>
        <v>20.209234308251077</v>
      </c>
      <c r="AD130" s="60">
        <f t="shared" si="126"/>
        <v>-41.201989499237023</v>
      </c>
      <c r="AE130" t="str">
        <f t="shared" si="127"/>
        <v>21,0353732052265</v>
      </c>
      <c r="AF130" t="str">
        <f t="shared" si="108"/>
        <v>1+0,447273974022558i</v>
      </c>
      <c r="AG130">
        <f t="shared" si="128"/>
        <v>1.0954697658255712</v>
      </c>
      <c r="AH130">
        <f t="shared" si="129"/>
        <v>0.42058464958726299</v>
      </c>
      <c r="AI130" t="str">
        <f t="shared" si="109"/>
        <v>1+0,0248485541123644i</v>
      </c>
      <c r="AJ130">
        <f t="shared" si="130"/>
        <v>1.0003086776797825</v>
      </c>
      <c r="AK130">
        <f t="shared" si="131"/>
        <v>2.4843441754315909E-2</v>
      </c>
      <c r="AL130" t="str">
        <f t="shared" si="110"/>
        <v>1-0,00169072995614525i</v>
      </c>
      <c r="AM130">
        <f t="shared" si="132"/>
        <v>1.0000014292828709</v>
      </c>
      <c r="AN130">
        <f t="shared" si="133"/>
        <v>-1.6907283451259513E-3</v>
      </c>
      <c r="AO130" s="58" t="str">
        <f t="shared" si="134"/>
        <v>17,7109854500616-7,43452937235766i</v>
      </c>
      <c r="AP130">
        <f t="shared" si="135"/>
        <v>25.669689655843623</v>
      </c>
      <c r="AQ130" s="60">
        <f t="shared" si="136"/>
        <v>-22.77117258671624</v>
      </c>
      <c r="AR130" t="str">
        <f t="shared" si="111"/>
        <v>-1,05811623246493</v>
      </c>
      <c r="AS130" t="str">
        <f t="shared" si="112"/>
        <v>1+0,0244907349331463i</v>
      </c>
      <c r="AT130">
        <f t="shared" si="137"/>
        <v>1.0002998530928442</v>
      </c>
      <c r="AU130">
        <f t="shared" si="138"/>
        <v>2.4485840212113197E-2</v>
      </c>
      <c r="AV130" t="str">
        <f t="shared" si="113"/>
        <v>1+0,0244907349331463i</v>
      </c>
      <c r="AW130">
        <f t="shared" si="139"/>
        <v>1.0002998530928442</v>
      </c>
      <c r="AX130">
        <f t="shared" si="140"/>
        <v>2.4485840212113197E-2</v>
      </c>
      <c r="AY130" t="str">
        <f t="shared" si="114"/>
        <v>1-1,03935408733262i</v>
      </c>
      <c r="AZ130">
        <f t="shared" si="141"/>
        <v>1.4423095780223549</v>
      </c>
      <c r="BA130">
        <f t="shared" si="142"/>
        <v>-0.80469309785036558</v>
      </c>
      <c r="BB130" s="58" t="str">
        <f t="shared" si="143"/>
        <v>-1,03056423632222+1,12499670662877i</v>
      </c>
      <c r="BC130">
        <f t="shared" si="144"/>
        <v>3.6692331890538066</v>
      </c>
      <c r="BD130" s="60">
        <f t="shared" si="145"/>
        <v>132.49154638788028</v>
      </c>
      <c r="BE130" s="58" t="str">
        <f t="shared" si="146"/>
        <v>-0,351726087525962+15,6247603971789i</v>
      </c>
      <c r="BF130" s="37">
        <f t="shared" si="147"/>
        <v>23.878467497304907</v>
      </c>
      <c r="BG130" s="60">
        <f t="shared" si="148"/>
        <v>91.289556888643261</v>
      </c>
      <c r="BH130" s="58" t="str">
        <f t="shared" si="149"/>
        <v>-9,88848713561946+27,5865603875082i</v>
      </c>
      <c r="BI130" s="37">
        <f t="shared" si="150"/>
        <v>29.338922844897418</v>
      </c>
      <c r="BJ130" s="60">
        <f t="shared" si="151"/>
        <v>109.72037380116409</v>
      </c>
      <c r="BK130">
        <f t="shared" si="152"/>
        <v>23.878467497304907</v>
      </c>
      <c r="BL130" s="60">
        <f t="shared" si="153"/>
        <v>91.289556888643261</v>
      </c>
      <c r="BN130">
        <f t="shared" si="154"/>
        <v>0</v>
      </c>
      <c r="BO130">
        <f t="shared" si="155"/>
        <v>0</v>
      </c>
    </row>
    <row r="131" spans="13:67" x14ac:dyDescent="0.25">
      <c r="M131" s="66">
        <v>13</v>
      </c>
      <c r="N131" s="36">
        <f t="shared" si="156"/>
        <v>134.89628825916537</v>
      </c>
      <c r="O131" s="91" t="str">
        <f t="shared" si="103"/>
        <v>13,7404580152672</v>
      </c>
      <c r="P131" s="67" t="str">
        <f t="shared" si="104"/>
        <v>1+0,915384646493694i</v>
      </c>
      <c r="Q131" s="67">
        <f t="shared" si="116"/>
        <v>1.3557024197943977</v>
      </c>
      <c r="R131" s="67">
        <f t="shared" si="117"/>
        <v>0.74125017803907245</v>
      </c>
      <c r="S131" s="67" t="str">
        <f t="shared" si="105"/>
        <v>1+0,0254273512914915i</v>
      </c>
      <c r="T131" s="67">
        <f t="shared" si="118"/>
        <v>1.0003232228603418</v>
      </c>
      <c r="U131" s="67">
        <f t="shared" si="119"/>
        <v>2.5421873396740603E-2</v>
      </c>
      <c r="V131" t="str">
        <f t="shared" si="106"/>
        <v>1-0,00529736485239406i</v>
      </c>
      <c r="W131" s="67">
        <f t="shared" si="120"/>
        <v>1.000014030938756</v>
      </c>
      <c r="X131" s="67">
        <f t="shared" si="121"/>
        <v>-5.2973153015461894E-3</v>
      </c>
      <c r="Y131" t="str">
        <f t="shared" si="107"/>
        <v>0,999998835391451+0,00919180417339582i</v>
      </c>
      <c r="Z131" s="67">
        <f t="shared" si="122"/>
        <v>1.0000410791803604</v>
      </c>
      <c r="AA131" s="67">
        <f t="shared" si="123"/>
        <v>9.1915560208901681E-3</v>
      </c>
      <c r="AB131" s="92" t="str">
        <f t="shared" si="124"/>
        <v>7,55266215930216-6,76332502687509i</v>
      </c>
      <c r="AC131" s="37">
        <f t="shared" si="125"/>
        <v>20.11930885737064</v>
      </c>
      <c r="AD131" s="60">
        <f t="shared" si="126"/>
        <v>-41.844091888694315</v>
      </c>
      <c r="AE131" t="str">
        <f t="shared" si="127"/>
        <v>21,0353732052265</v>
      </c>
      <c r="AF131" t="str">
        <f t="shared" si="108"/>
        <v>1+0,457692323246847i</v>
      </c>
      <c r="AG131">
        <f t="shared" si="128"/>
        <v>1.0997646397111958</v>
      </c>
      <c r="AH131">
        <f t="shared" si="129"/>
        <v>0.42923242050061233</v>
      </c>
      <c r="AI131" t="str">
        <f t="shared" si="109"/>
        <v>1+0,0254273512914915i</v>
      </c>
      <c r="AJ131">
        <f t="shared" si="130"/>
        <v>1.0003232228603418</v>
      </c>
      <c r="AK131">
        <f t="shared" si="131"/>
        <v>2.5421873396740603E-2</v>
      </c>
      <c r="AL131" t="str">
        <f t="shared" si="110"/>
        <v>1-0,00173011211596258i</v>
      </c>
      <c r="AM131">
        <f t="shared" si="132"/>
        <v>1.000001496642847</v>
      </c>
      <c r="AN131">
        <f t="shared" si="133"/>
        <v>-1.73011038972444E-3</v>
      </c>
      <c r="AO131" s="58" t="str">
        <f t="shared" si="134"/>
        <v>17,5814477355508-7,54841339013651i</v>
      </c>
      <c r="AP131">
        <f t="shared" si="135"/>
        <v>25.635829418313211</v>
      </c>
      <c r="AQ131" s="60">
        <f t="shared" si="136"/>
        <v>-23.235768095343555</v>
      </c>
      <c r="AR131" t="str">
        <f t="shared" si="111"/>
        <v>-1,05811623246493</v>
      </c>
      <c r="AS131" t="str">
        <f t="shared" si="112"/>
        <v>1+0,025061197432894i</v>
      </c>
      <c r="AT131">
        <f t="shared" si="137"/>
        <v>1.0003139825158751</v>
      </c>
      <c r="AU131">
        <f t="shared" si="138"/>
        <v>2.5055952733721586E-2</v>
      </c>
      <c r="AV131" t="str">
        <f t="shared" si="113"/>
        <v>1+0,025061197432894i</v>
      </c>
      <c r="AW131">
        <f t="shared" si="139"/>
        <v>1.0003139825158751</v>
      </c>
      <c r="AX131">
        <f t="shared" si="140"/>
        <v>2.5055952733721586E-2</v>
      </c>
      <c r="AY131" t="str">
        <f t="shared" si="114"/>
        <v>1-1,015695499894i</v>
      </c>
      <c r="AZ131">
        <f t="shared" si="141"/>
        <v>1.4253551657411294</v>
      </c>
      <c r="BA131">
        <f t="shared" si="142"/>
        <v>-0.79318464835556901</v>
      </c>
      <c r="BB131" s="58" t="str">
        <f t="shared" si="143"/>
        <v>-1,03053512311283+1,10055033986128i</v>
      </c>
      <c r="BC131">
        <f t="shared" si="144"/>
        <v>3.5664026293981559</v>
      </c>
      <c r="BD131" s="60">
        <f t="shared" si="145"/>
        <v>133.11826693133625</v>
      </c>
      <c r="BE131" s="58" t="str">
        <f t="shared" si="146"/>
        <v>-0,339903971246382+15,2819288955002i</v>
      </c>
      <c r="BF131" s="37">
        <f t="shared" si="147"/>
        <v>23.685711486768781</v>
      </c>
      <c r="BG131" s="60">
        <f t="shared" si="148"/>
        <v>91.274175042641943</v>
      </c>
      <c r="BH131" s="58" t="str">
        <f t="shared" si="149"/>
        <v>-9,81089048472946+27,1281734029246i</v>
      </c>
      <c r="BI131" s="37">
        <f t="shared" si="150"/>
        <v>29.202232047711362</v>
      </c>
      <c r="BJ131" s="60">
        <f t="shared" si="151"/>
        <v>109.88249883599273</v>
      </c>
      <c r="BK131">
        <f t="shared" si="152"/>
        <v>23.685711486768781</v>
      </c>
      <c r="BL131" s="60">
        <f t="shared" si="153"/>
        <v>91.274175042641943</v>
      </c>
      <c r="BN131">
        <f t="shared" si="154"/>
        <v>0</v>
      </c>
      <c r="BO131">
        <f t="shared" si="155"/>
        <v>0</v>
      </c>
    </row>
    <row r="132" spans="13:67" x14ac:dyDescent="0.25">
      <c r="M132" s="66">
        <v>14</v>
      </c>
      <c r="N132" s="36">
        <f t="shared" si="156"/>
        <v>138.0384264602886</v>
      </c>
      <c r="O132" s="91" t="str">
        <f t="shared" si="103"/>
        <v>13,7404580152672</v>
      </c>
      <c r="P132" s="67" t="str">
        <f t="shared" si="104"/>
        <v>1+0,936706693998393i</v>
      </c>
      <c r="Q132" s="67">
        <f t="shared" si="116"/>
        <v>1.3701895600906464</v>
      </c>
      <c r="R132" s="67">
        <f t="shared" si="117"/>
        <v>0.75272889688008937</v>
      </c>
      <c r="S132" s="67" t="str">
        <f t="shared" si="105"/>
        <v>1+0,0260196303888443i</v>
      </c>
      <c r="T132" s="67">
        <f t="shared" si="118"/>
        <v>1.0003384533074653</v>
      </c>
      <c r="U132" s="67">
        <f t="shared" si="119"/>
        <v>2.6013760826119597E-2</v>
      </c>
      <c r="V132" t="str">
        <f t="shared" si="106"/>
        <v>1-0,00542075633100922i</v>
      </c>
      <c r="W132" s="67">
        <f t="shared" si="120"/>
        <v>1.0000146921916697</v>
      </c>
      <c r="X132" s="67">
        <f t="shared" si="121"/>
        <v>-5.4207032363612663E-3</v>
      </c>
      <c r="Y132" t="str">
        <f t="shared" si="107"/>
        <v>0,99999878050514+0,00940590879705294i</v>
      </c>
      <c r="Z132" s="67">
        <f t="shared" si="122"/>
        <v>1.0000430151408817</v>
      </c>
      <c r="AA132" s="67">
        <f t="shared" si="123"/>
        <v>9.4056428974700849E-3</v>
      </c>
      <c r="AB132" s="92" t="str">
        <f t="shared" si="124"/>
        <v>7,39733022680413-6,77536407480312i</v>
      </c>
      <c r="AC132" s="37">
        <f t="shared" si="125"/>
        <v>20.027104373371117</v>
      </c>
      <c r="AD132" s="60">
        <f t="shared" si="126"/>
        <v>-42.487197263236517</v>
      </c>
      <c r="AE132" t="str">
        <f t="shared" si="127"/>
        <v>21,0353732052265</v>
      </c>
      <c r="AF132" t="str">
        <f t="shared" si="108"/>
        <v>1+0,468353346999197i</v>
      </c>
      <c r="AG132">
        <f t="shared" si="128"/>
        <v>1.1042440208782434</v>
      </c>
      <c r="AH132">
        <f t="shared" si="129"/>
        <v>0.43801131199281784</v>
      </c>
      <c r="AI132" t="str">
        <f t="shared" si="109"/>
        <v>1+0,0260196303888443i</v>
      </c>
      <c r="AJ132">
        <f t="shared" si="130"/>
        <v>1.0003384533074653</v>
      </c>
      <c r="AK132">
        <f t="shared" si="131"/>
        <v>2.6013760826119597E-2</v>
      </c>
      <c r="AL132" t="str">
        <f t="shared" si="110"/>
        <v>1-0,00177041160412454i</v>
      </c>
      <c r="AM132">
        <f t="shared" si="132"/>
        <v>1.0000015671773959</v>
      </c>
      <c r="AN132">
        <f t="shared" si="133"/>
        <v>-1.7704097544272042E-3</v>
      </c>
      <c r="AO132" s="58" t="str">
        <f t="shared" si="134"/>
        <v>17,4479521485679-7,66171541999182i</v>
      </c>
      <c r="AP132">
        <f t="shared" si="135"/>
        <v>25.600656187227379</v>
      </c>
      <c r="AQ132" s="60">
        <f t="shared" si="136"/>
        <v>-23.707157858514421</v>
      </c>
      <c r="AR132" t="str">
        <f t="shared" si="111"/>
        <v>-1,05811623246493</v>
      </c>
      <c r="AS132" t="str">
        <f t="shared" si="112"/>
        <v>1+0,0256449477112449i</v>
      </c>
      <c r="AT132">
        <f t="shared" si="137"/>
        <v>1.0003287776241931</v>
      </c>
      <c r="AU132">
        <f t="shared" si="138"/>
        <v>2.5639328014584139E-2</v>
      </c>
      <c r="AV132" t="str">
        <f t="shared" si="113"/>
        <v>1+0,0256449477112449i</v>
      </c>
      <c r="AW132">
        <f t="shared" si="139"/>
        <v>1.0003287776241931</v>
      </c>
      <c r="AX132">
        <f t="shared" si="140"/>
        <v>2.5639328014584139E-2</v>
      </c>
      <c r="AY132" t="str">
        <f t="shared" si="114"/>
        <v>1-0,992575447653732i</v>
      </c>
      <c r="AZ132">
        <f t="shared" si="141"/>
        <v>1.4089733919719727</v>
      </c>
      <c r="BA132">
        <f t="shared" si="142"/>
        <v>-0.78167207212459144</v>
      </c>
      <c r="BB132" s="58" t="str">
        <f t="shared" si="143"/>
        <v>-1,03050463960308+1,07668743070738i</v>
      </c>
      <c r="BC132">
        <f t="shared" si="144"/>
        <v>3.4658681147843668</v>
      </c>
      <c r="BD132" s="60">
        <f t="shared" si="145"/>
        <v>133.74446401922773</v>
      </c>
      <c r="BE132" s="58" t="str">
        <f t="shared" si="146"/>
        <v>-0,328033781590904+14,9466565900764i</v>
      </c>
      <c r="BF132" s="37">
        <f t="shared" si="147"/>
        <v>23.492972488155466</v>
      </c>
      <c r="BG132" s="60">
        <f t="shared" si="148"/>
        <v>91.257266755991225</v>
      </c>
      <c r="BH132" s="58" t="str">
        <f t="shared" si="149"/>
        <v>-9,73092295030964+26,6814240575669i</v>
      </c>
      <c r="BI132" s="37">
        <f t="shared" si="150"/>
        <v>29.066524302011739</v>
      </c>
      <c r="BJ132" s="60">
        <f t="shared" si="151"/>
        <v>110.03730616071333</v>
      </c>
      <c r="BK132">
        <f t="shared" si="152"/>
        <v>23.492972488155466</v>
      </c>
      <c r="BL132" s="60">
        <f t="shared" si="153"/>
        <v>91.257266755991225</v>
      </c>
      <c r="BN132">
        <f t="shared" si="154"/>
        <v>0</v>
      </c>
      <c r="BO132">
        <f t="shared" si="155"/>
        <v>0</v>
      </c>
    </row>
    <row r="133" spans="13:67" x14ac:dyDescent="0.25">
      <c r="M133" s="66">
        <v>15</v>
      </c>
      <c r="N133" s="36">
        <f t="shared" si="156"/>
        <v>141.25375446227542</v>
      </c>
      <c r="O133" s="91" t="str">
        <f t="shared" si="103"/>
        <v>13,7404580152672</v>
      </c>
      <c r="P133" s="67" t="str">
        <f t="shared" si="104"/>
        <v>1+0,958525395791028i</v>
      </c>
      <c r="Q133" s="67">
        <f t="shared" si="116"/>
        <v>1.3851970742014823</v>
      </c>
      <c r="R133" s="67">
        <f t="shared" si="117"/>
        <v>0.76422488358348184</v>
      </c>
      <c r="S133" s="67" t="str">
        <f t="shared" si="105"/>
        <v>1+0,0266257054386397i</v>
      </c>
      <c r="T133" s="67">
        <f t="shared" si="118"/>
        <v>1.0003544012949137</v>
      </c>
      <c r="U133" s="67">
        <f t="shared" si="119"/>
        <v>2.6619416209201299E-2</v>
      </c>
      <c r="V133" t="str">
        <f t="shared" si="106"/>
        <v>1-0,00554702196638326i</v>
      </c>
      <c r="W133" s="67">
        <f t="shared" si="120"/>
        <v>1.0000153846080047</v>
      </c>
      <c r="X133" s="67">
        <f t="shared" si="121"/>
        <v>-5.5469650744902439E-3</v>
      </c>
      <c r="Y133" t="str">
        <f t="shared" si="107"/>
        <v>0,999998723032118+0,00962500055805617i</v>
      </c>
      <c r="Z133" s="67">
        <f t="shared" si="122"/>
        <v>1.0000450423363985</v>
      </c>
      <c r="AA133" s="67">
        <f t="shared" si="123"/>
        <v>9.6247156422128201E-3</v>
      </c>
      <c r="AB133" s="92" t="str">
        <f t="shared" si="124"/>
        <v>7,24153055214589-6,78384616667798i</v>
      </c>
      <c r="AC133" s="37">
        <f t="shared" si="125"/>
        <v>19.932613026842741</v>
      </c>
      <c r="AD133" s="60">
        <f t="shared" si="126"/>
        <v>-43.130953499507939</v>
      </c>
      <c r="AE133" t="str">
        <f t="shared" si="127"/>
        <v>21,0353732052265</v>
      </c>
      <c r="AF133" t="str">
        <f t="shared" si="108"/>
        <v>1+0,479262697895514i</v>
      </c>
      <c r="AG133">
        <f t="shared" si="128"/>
        <v>1.1089151155945558</v>
      </c>
      <c r="AH133">
        <f t="shared" si="129"/>
        <v>0.44692056508694017</v>
      </c>
      <c r="AI133" t="str">
        <f t="shared" si="109"/>
        <v>1+0,0266257054386397i</v>
      </c>
      <c r="AJ133">
        <f t="shared" si="130"/>
        <v>1.0003544012949137</v>
      </c>
      <c r="AK133">
        <f t="shared" si="131"/>
        <v>2.6619416209201299E-2</v>
      </c>
      <c r="AL133" t="str">
        <f t="shared" si="110"/>
        <v>1-0,00181164978795317i</v>
      </c>
      <c r="AM133">
        <f t="shared" si="132"/>
        <v>1.0000016410361305</v>
      </c>
      <c r="AN133">
        <f t="shared" si="133"/>
        <v>-1.8116478059669414E-3</v>
      </c>
      <c r="AO133" s="58" t="str">
        <f t="shared" si="134"/>
        <v>17,3104625619185-7,77428606789691i</v>
      </c>
      <c r="AP133">
        <f t="shared" si="135"/>
        <v>25.564130363273652</v>
      </c>
      <c r="AQ133" s="60">
        <f t="shared" si="136"/>
        <v>-24.185281728440181</v>
      </c>
      <c r="AR133" t="str">
        <f t="shared" si="111"/>
        <v>-1,05811623246493</v>
      </c>
      <c r="AS133" t="str">
        <f t="shared" si="112"/>
        <v>1+0,0262422952803233i</v>
      </c>
      <c r="AT133">
        <f t="shared" si="137"/>
        <v>1.0003442697699525</v>
      </c>
      <c r="AU133">
        <f t="shared" si="138"/>
        <v>2.6236273778781183E-2</v>
      </c>
      <c r="AV133" t="str">
        <f t="shared" si="113"/>
        <v>1+0,0262422952803233i</v>
      </c>
      <c r="AW133">
        <f t="shared" si="139"/>
        <v>1.0003442697699525</v>
      </c>
      <c r="AX133">
        <f t="shared" si="140"/>
        <v>2.6236273778781183E-2</v>
      </c>
      <c r="AY133" t="str">
        <f t="shared" si="114"/>
        <v>1-0,969981672054103i</v>
      </c>
      <c r="AZ133">
        <f t="shared" si="141"/>
        <v>1.3931491105121783</v>
      </c>
      <c r="BA133">
        <f t="shared" si="142"/>
        <v>-0.77016147091982257</v>
      </c>
      <c r="BB133" s="58" t="str">
        <f t="shared" si="143"/>
        <v>-1,03047272138264+1,05339532182676i</v>
      </c>
      <c r="BC133">
        <f t="shared" si="144"/>
        <v>3.3676298035891645</v>
      </c>
      <c r="BD133" s="60">
        <f t="shared" si="145"/>
        <v>134.3697704150328</v>
      </c>
      <c r="BE133" s="58" t="str">
        <f t="shared" si="146"/>
        <v>-0,316127879074322+14,6187628273139i</v>
      </c>
      <c r="BF133" s="37">
        <f t="shared" si="147"/>
        <v>23.30024283043192</v>
      </c>
      <c r="BG133" s="60">
        <f t="shared" si="148"/>
        <v>91.238816915524865</v>
      </c>
      <c r="BH133" s="58" t="str">
        <f t="shared" si="149"/>
        <v>-9,6485628901069+26,2459500025751i</v>
      </c>
      <c r="BI133" s="37">
        <f t="shared" si="150"/>
        <v>28.931760166862823</v>
      </c>
      <c r="BJ133" s="60">
        <f t="shared" si="151"/>
        <v>110.18448868659263</v>
      </c>
      <c r="BK133">
        <f t="shared" si="152"/>
        <v>23.30024283043192</v>
      </c>
      <c r="BL133" s="60">
        <f t="shared" si="153"/>
        <v>91.238816915524865</v>
      </c>
      <c r="BN133">
        <f t="shared" si="154"/>
        <v>0</v>
      </c>
      <c r="BO133">
        <f t="shared" si="155"/>
        <v>0</v>
      </c>
    </row>
    <row r="134" spans="13:67" x14ac:dyDescent="0.25">
      <c r="M134" s="66">
        <v>16</v>
      </c>
      <c r="N134" s="36">
        <f t="shared" si="156"/>
        <v>144.54397707459285</v>
      </c>
      <c r="O134" s="91" t="str">
        <f t="shared" si="103"/>
        <v>13,7404580152672</v>
      </c>
      <c r="P134" s="67" t="str">
        <f t="shared" si="104"/>
        <v>1+0,980852320436096i</v>
      </c>
      <c r="Q134" s="67">
        <f t="shared" si="116"/>
        <v>1.4007395455632978</v>
      </c>
      <c r="R134" s="67">
        <f t="shared" si="117"/>
        <v>0.77573208025743057</v>
      </c>
      <c r="S134" s="67" t="str">
        <f t="shared" si="105"/>
        <v>1+0,0272458977898916i</v>
      </c>
      <c r="T134" s="67">
        <f t="shared" si="118"/>
        <v>1.0003711006153553</v>
      </c>
      <c r="U134" s="67">
        <f t="shared" si="119"/>
        <v>2.7239158894144432E-2</v>
      </c>
      <c r="V134" t="str">
        <f t="shared" si="106"/>
        <v>1-0,00567622870622741i</v>
      </c>
      <c r="W134" s="67">
        <f t="shared" si="120"/>
        <v>1.0000161096564022</v>
      </c>
      <c r="X134" s="67">
        <f t="shared" si="121"/>
        <v>-5.6761677455187702E-3</v>
      </c>
      <c r="Y134" t="str">
        <f t="shared" si="107"/>
        <v>0,999998662850476+0,00984919562175723i</v>
      </c>
      <c r="Z134" s="67">
        <f t="shared" si="122"/>
        <v>1.0000471650662961</v>
      </c>
      <c r="AA134" s="67">
        <f t="shared" si="123"/>
        <v>9.8488903297081938E-3</v>
      </c>
      <c r="AB134" s="92" t="str">
        <f t="shared" si="124"/>
        <v>7,08542682290535-6,78874918128316i</v>
      </c>
      <c r="AC134" s="37">
        <f t="shared" si="125"/>
        <v>19.835829398876879</v>
      </c>
      <c r="AD134" s="60">
        <f t="shared" si="126"/>
        <v>-43.775005693939733</v>
      </c>
      <c r="AE134" t="str">
        <f t="shared" si="127"/>
        <v>21,0353732052265</v>
      </c>
      <c r="AF134" t="str">
        <f t="shared" si="108"/>
        <v>1+0,490426160218048i</v>
      </c>
      <c r="AG134">
        <f t="shared" si="128"/>
        <v>1.1137853557244406</v>
      </c>
      <c r="AH134">
        <f t="shared" si="129"/>
        <v>0.45595924522227776</v>
      </c>
      <c r="AI134" t="str">
        <f t="shared" si="109"/>
        <v>1+0,0272458977898916i</v>
      </c>
      <c r="AJ134">
        <f t="shared" si="130"/>
        <v>1.0003711006153553</v>
      </c>
      <c r="AK134">
        <f t="shared" si="131"/>
        <v>2.7239158894144432E-2</v>
      </c>
      <c r="AL134" t="str">
        <f t="shared" si="110"/>
        <v>1-0,00185384853247939i</v>
      </c>
      <c r="AM134">
        <f t="shared" si="132"/>
        <v>1.0000017183757142</v>
      </c>
      <c r="AN134">
        <f t="shared" si="133"/>
        <v>-1.8538464087430803E-3</v>
      </c>
      <c r="AO134" s="58" t="str">
        <f t="shared" si="134"/>
        <v>17,1689493747619-7,88597068426736i</v>
      </c>
      <c r="AP134">
        <f t="shared" si="135"/>
        <v>25.526212030345473</v>
      </c>
      <c r="AQ134" s="60">
        <f t="shared" si="136"/>
        <v>-24.670069114172765</v>
      </c>
      <c r="AR134" t="str">
        <f t="shared" si="111"/>
        <v>-1,05811623246493</v>
      </c>
      <c r="AS134" t="str">
        <f t="shared" si="112"/>
        <v>1+0,0268535568617171i</v>
      </c>
      <c r="AT134">
        <f t="shared" si="137"/>
        <v>1.0003604917809008</v>
      </c>
      <c r="AU134">
        <f t="shared" si="138"/>
        <v>2.6847104832138223E-2</v>
      </c>
      <c r="AV134" t="str">
        <f t="shared" si="113"/>
        <v>1+0,0268535568617171i</v>
      </c>
      <c r="AW134">
        <f t="shared" si="139"/>
        <v>1.0003604917809008</v>
      </c>
      <c r="AX134">
        <f t="shared" si="140"/>
        <v>2.6847104832138223E-2</v>
      </c>
      <c r="AY134" t="str">
        <f t="shared" si="114"/>
        <v>1-0,947902193576221i</v>
      </c>
      <c r="AZ134">
        <f t="shared" si="141"/>
        <v>1.3778673987676069</v>
      </c>
      <c r="BA134">
        <f t="shared" si="142"/>
        <v>-0.75865894127277977</v>
      </c>
      <c r="BB134" s="58" t="str">
        <f t="shared" si="143"/>
        <v>-1,03043930102195+1,03066165817465i</v>
      </c>
      <c r="BC134">
        <f t="shared" si="144"/>
        <v>3.2716854020583206</v>
      </c>
      <c r="BD134" s="60">
        <f t="shared" si="145"/>
        <v>134.99381877617981</v>
      </c>
      <c r="BE134" s="58" t="str">
        <f t="shared" si="146"/>
        <v>-0,304198774723665+14,2980717193455i</v>
      </c>
      <c r="BF134" s="37">
        <f t="shared" si="147"/>
        <v>23.107514800935185</v>
      </c>
      <c r="BG134" s="60">
        <f t="shared" si="148"/>
        <v>91.218813082240061</v>
      </c>
      <c r="BH134" s="58" t="str">
        <f t="shared" si="149"/>
        <v>-9,56379257124722+25,8213919514848i</v>
      </c>
      <c r="BI134" s="37">
        <f t="shared" si="150"/>
        <v>28.797897432403801</v>
      </c>
      <c r="BJ134" s="60">
        <f t="shared" si="151"/>
        <v>110.323749662007</v>
      </c>
      <c r="BK134">
        <f t="shared" si="152"/>
        <v>23.107514800935185</v>
      </c>
      <c r="BL134" s="60">
        <f t="shared" si="153"/>
        <v>91.218813082240061</v>
      </c>
      <c r="BN134">
        <f t="shared" si="154"/>
        <v>0</v>
      </c>
      <c r="BO134">
        <f t="shared" si="155"/>
        <v>0</v>
      </c>
    </row>
    <row r="135" spans="13:67" x14ac:dyDescent="0.25">
      <c r="M135" s="66">
        <v>17</v>
      </c>
      <c r="N135" s="36">
        <f t="shared" si="156"/>
        <v>147.91083881682084</v>
      </c>
      <c r="O135" s="91" t="str">
        <f t="shared" si="103"/>
        <v>13,7404580152672</v>
      </c>
      <c r="P135" s="67" t="str">
        <f t="shared" si="104"/>
        <v>1+1,00369930596457i</v>
      </c>
      <c r="Q135" s="67">
        <f t="shared" si="116"/>
        <v>1.4168317814030569</v>
      </c>
      <c r="R135" s="67">
        <f t="shared" si="117"/>
        <v>0.78724439938226964</v>
      </c>
      <c r="S135" s="67" t="str">
        <f t="shared" si="105"/>
        <v>1+0,0278805362767937i</v>
      </c>
      <c r="T135" s="67">
        <f t="shared" si="118"/>
        <v>1.0003885866517479</v>
      </c>
      <c r="U135" s="67">
        <f t="shared" si="119"/>
        <v>2.7873315571382222E-2</v>
      </c>
      <c r="V135" t="str">
        <f t="shared" si="106"/>
        <v>1-0,00580844505766536i</v>
      </c>
      <c r="W135" s="67">
        <f t="shared" si="120"/>
        <v>1.0000168688747144</v>
      </c>
      <c r="X135" s="67">
        <f t="shared" si="121"/>
        <v>-5.8083797371487021E-3</v>
      </c>
      <c r="Y135" t="str">
        <f t="shared" si="107"/>
        <v>0,999998599832561+0,0100786128593465i</v>
      </c>
      <c r="Z135" s="67">
        <f t="shared" si="122"/>
        <v>1.0000493878325465</v>
      </c>
      <c r="AA135" s="67">
        <f t="shared" si="123"/>
        <v>1.0078285733894557E-2</v>
      </c>
      <c r="AB135" s="92" t="str">
        <f t="shared" si="124"/>
        <v>6,92918401089343-6,79006042235554i</v>
      </c>
      <c r="AC135" s="37">
        <f t="shared" si="125"/>
        <v>19.736750505616865</v>
      </c>
      <c r="AD135" s="60">
        <f t="shared" si="126"/>
        <v>-44.418997068665966</v>
      </c>
      <c r="AE135" t="str">
        <f t="shared" si="127"/>
        <v>21,0353732052265</v>
      </c>
      <c r="AF135" t="str">
        <f t="shared" si="108"/>
        <v>1+0,501849652982287i</v>
      </c>
      <c r="AG135">
        <f t="shared" si="128"/>
        <v>1.118862401816435</v>
      </c>
      <c r="AH135">
        <f t="shared" si="129"/>
        <v>0.46512623632926497</v>
      </c>
      <c r="AI135" t="str">
        <f t="shared" si="109"/>
        <v>1+0,0278805362767937i</v>
      </c>
      <c r="AJ135">
        <f t="shared" si="130"/>
        <v>1.0003885866517479</v>
      </c>
      <c r="AK135">
        <f t="shared" si="131"/>
        <v>2.7873315571382222E-2</v>
      </c>
      <c r="AL135" t="str">
        <f t="shared" si="110"/>
        <v>1-0,00189703021203612i</v>
      </c>
      <c r="AM135">
        <f t="shared" si="132"/>
        <v>1.0000017993601937</v>
      </c>
      <c r="AN135">
        <f t="shared" si="133"/>
        <v>-1.8970279364118863E-3</v>
      </c>
      <c r="AO135" s="58" t="str">
        <f t="shared" si="134"/>
        <v>17,0233900075846-7,99660962063602i</v>
      </c>
      <c r="AP135">
        <f t="shared" si="135"/>
        <v>25.486861024098534</v>
      </c>
      <c r="AQ135" s="60">
        <f t="shared" si="136"/>
        <v>-25.161438633569713</v>
      </c>
      <c r="AR135" t="str">
        <f t="shared" si="111"/>
        <v>-1,05811623246493</v>
      </c>
      <c r="AS135" t="str">
        <f t="shared" si="112"/>
        <v>1+0,0274790565544079i</v>
      </c>
      <c r="AT135">
        <f t="shared" si="137"/>
        <v>1.0003774780297288</v>
      </c>
      <c r="AU135">
        <f t="shared" si="138"/>
        <v>2.7472143221041363E-2</v>
      </c>
      <c r="AV135" t="str">
        <f t="shared" si="113"/>
        <v>1+0,0274790565544079i</v>
      </c>
      <c r="AW135">
        <f t="shared" si="139"/>
        <v>1.0003774780297288</v>
      </c>
      <c r="AX135">
        <f t="shared" si="140"/>
        <v>2.7472143221041363E-2</v>
      </c>
      <c r="AY135" t="str">
        <f t="shared" si="114"/>
        <v>1-0,926325305388343i</v>
      </c>
      <c r="AZ135">
        <f t="shared" si="141"/>
        <v>1.3631135577796909</v>
      </c>
      <c r="BA135">
        <f t="shared" si="142"/>
        <v>-0.74717055835980561</v>
      </c>
      <c r="BB135" s="58" t="str">
        <f t="shared" si="143"/>
        <v>-1,03040430793153+1,008474380426i</v>
      </c>
      <c r="BC135">
        <f t="shared" si="144"/>
        <v>3.1780301722125648</v>
      </c>
      <c r="BD135" s="60">
        <f t="shared" si="145"/>
        <v>135.61624256880518</v>
      </c>
      <c r="BE135" s="58" t="str">
        <f t="shared" si="146"/>
        <v>-0,292259077784761+13,984412062554i</v>
      </c>
      <c r="BF135" s="37">
        <f t="shared" si="147"/>
        <v>22.914780677829405</v>
      </c>
      <c r="BG135" s="60">
        <f t="shared" si="148"/>
        <v>91.197245500139189</v>
      </c>
      <c r="BH135" s="58" t="str">
        <f t="shared" si="149"/>
        <v>-9,47659846673423+25,4073936925991i</v>
      </c>
      <c r="BI135" s="37">
        <f t="shared" si="150"/>
        <v>28.6648911963111</v>
      </c>
      <c r="BJ135" s="60">
        <f t="shared" si="151"/>
        <v>110.45480393523545</v>
      </c>
      <c r="BK135">
        <f t="shared" si="152"/>
        <v>22.914780677829405</v>
      </c>
      <c r="BL135" s="60">
        <f t="shared" si="153"/>
        <v>91.197245500139189</v>
      </c>
      <c r="BN135">
        <f t="shared" si="154"/>
        <v>0</v>
      </c>
      <c r="BO135">
        <f t="shared" si="155"/>
        <v>0</v>
      </c>
    </row>
    <row r="136" spans="13:67" x14ac:dyDescent="0.25">
      <c r="M136" s="66">
        <v>18</v>
      </c>
      <c r="N136" s="36">
        <f t="shared" si="156"/>
        <v>151.3561248436209</v>
      </c>
      <c r="O136" s="91" t="str">
        <f t="shared" si="103"/>
        <v>13,7404580152672</v>
      </c>
      <c r="P136" s="67" t="str">
        <f t="shared" si="104"/>
        <v>1+1,0270784661506i</v>
      </c>
      <c r="Q136" s="67">
        <f t="shared" si="116"/>
        <v>1.4334888125235821</v>
      </c>
      <c r="R136" s="67">
        <f t="shared" si="117"/>
        <v>0.79875573987668869</v>
      </c>
      <c r="S136" s="67" t="str">
        <f t="shared" si="105"/>
        <v>1+0,0285299573930724i</v>
      </c>
      <c r="T136" s="67">
        <f t="shared" si="118"/>
        <v>1.0004068964520638</v>
      </c>
      <c r="U136" s="67">
        <f t="shared" si="119"/>
        <v>2.8522220437778543E-2</v>
      </c>
      <c r="V136" t="str">
        <f t="shared" si="106"/>
        <v>1-0,00594374112355674i</v>
      </c>
      <c r="W136" s="67">
        <f t="shared" si="120"/>
        <v>1.0000176638732656</v>
      </c>
      <c r="X136" s="67">
        <f t="shared" si="121"/>
        <v>-5.9436711314288845E-3</v>
      </c>
      <c r="Y136" t="str">
        <f t="shared" si="107"/>
        <v>0,999998533844702+0,0103133739108799i</v>
      </c>
      <c r="Z136" s="67">
        <f t="shared" si="122"/>
        <v>1.0000517153492512</v>
      </c>
      <c r="AA136" s="67">
        <f t="shared" si="123"/>
        <v>1.0313023390621694E-2</v>
      </c>
      <c r="AB136" s="92" t="str">
        <f t="shared" si="124"/>
        <v>6,77296767633006-6,78777670075569i</v>
      </c>
      <c r="AC136" s="37">
        <f t="shared" si="125"/>
        <v>19.635375812659269</v>
      </c>
      <c r="AD136" s="60">
        <f t="shared" si="126"/>
        <v>-45.062569888304274</v>
      </c>
      <c r="AE136" t="str">
        <f t="shared" si="127"/>
        <v>21,0353732052265</v>
      </c>
      <c r="AF136" t="str">
        <f t="shared" si="108"/>
        <v>1+0,513539233075303i</v>
      </c>
      <c r="AG136">
        <f t="shared" si="128"/>
        <v>1.124154145972682</v>
      </c>
      <c r="AH136">
        <f t="shared" si="129"/>
        <v>0.47442023522664473</v>
      </c>
      <c r="AI136" t="str">
        <f t="shared" si="109"/>
        <v>1+0,0285299573930724i</v>
      </c>
      <c r="AJ136">
        <f t="shared" si="130"/>
        <v>1.0004068964520638</v>
      </c>
      <c r="AK136">
        <f t="shared" si="131"/>
        <v>2.8522220437778543E-2</v>
      </c>
      <c r="AL136" t="str">
        <f t="shared" si="110"/>
        <v>1-0,00194121772212144i</v>
      </c>
      <c r="AM136">
        <f t="shared" si="132"/>
        <v>1.0000018841613472</v>
      </c>
      <c r="AN136">
        <f t="shared" si="133"/>
        <v>-1.9412152837463901E-3</v>
      </c>
      <c r="AO136" s="58" t="str">
        <f t="shared" si="134"/>
        <v>16,8737693936128-8,10603853145038i</v>
      </c>
      <c r="AP136">
        <f t="shared" si="135"/>
        <v>25.446037005486531</v>
      </c>
      <c r="AQ136" s="60">
        <f t="shared" si="136"/>
        <v>-25.659297783548976</v>
      </c>
      <c r="AR136" t="str">
        <f t="shared" si="111"/>
        <v>-1,05811623246493</v>
      </c>
      <c r="AS136" t="str">
        <f t="shared" si="112"/>
        <v>1+0,0281191260066121i</v>
      </c>
      <c r="AT136">
        <f t="shared" si="137"/>
        <v>1.0003952645066727</v>
      </c>
      <c r="AU136">
        <f t="shared" si="138"/>
        <v>2.8111718394514255E-2</v>
      </c>
      <c r="AV136" t="str">
        <f t="shared" si="113"/>
        <v>1+0,0281191260066121i</v>
      </c>
      <c r="AW136">
        <f t="shared" si="139"/>
        <v>1.0003952645066727</v>
      </c>
      <c r="AX136">
        <f t="shared" si="140"/>
        <v>2.8111718394514255E-2</v>
      </c>
      <c r="AY136" t="str">
        <f t="shared" si="114"/>
        <v>1-0,905239567138748i</v>
      </c>
      <c r="AZ136">
        <f t="shared" si="141"/>
        <v>1.3488731126067965</v>
      </c>
      <c r="BA136">
        <f t="shared" si="142"/>
        <v>-0.73570236001538603</v>
      </c>
      <c r="BB136" s="58" t="str">
        <f t="shared" si="143"/>
        <v>-1,03036766821483+0,986821718554708i</v>
      </c>
      <c r="BC136">
        <f t="shared" si="144"/>
        <v>3.0866569499773928</v>
      </c>
      <c r="BD136" s="60">
        <f t="shared" si="145"/>
        <v>136.23667697443821</v>
      </c>
      <c r="BE136" s="58" t="str">
        <f t="shared" si="146"/>
        <v>-0,280321442549282+13,6776172535921i</v>
      </c>
      <c r="BF136" s="37">
        <f t="shared" si="147"/>
        <v>22.722032762636655</v>
      </c>
      <c r="BG136" s="60">
        <f t="shared" si="148"/>
        <v>91.17410708613393</v>
      </c>
      <c r="BH136" s="58" t="str">
        <f t="shared" si="149"/>
        <v>-9,38697154981504+25,0036021316109i</v>
      </c>
      <c r="BI136" s="37">
        <f t="shared" si="150"/>
        <v>28.53269395546392</v>
      </c>
      <c r="BJ136" s="60">
        <f t="shared" si="151"/>
        <v>110.57737919088925</v>
      </c>
      <c r="BK136">
        <f t="shared" si="152"/>
        <v>22.722032762636655</v>
      </c>
      <c r="BL136" s="60">
        <f t="shared" si="153"/>
        <v>91.17410708613393</v>
      </c>
      <c r="BN136">
        <f t="shared" si="154"/>
        <v>0</v>
      </c>
      <c r="BO136">
        <f t="shared" si="155"/>
        <v>0</v>
      </c>
    </row>
    <row r="137" spans="13:67" x14ac:dyDescent="0.25">
      <c r="M137" s="66">
        <v>19</v>
      </c>
      <c r="N137" s="36">
        <f t="shared" si="156"/>
        <v>154.8816618912482</v>
      </c>
      <c r="O137" s="91" t="str">
        <f t="shared" si="103"/>
        <v>13,7404580152672</v>
      </c>
      <c r="P137" s="67" t="str">
        <f t="shared" si="104"/>
        <v>1+1,05100219693438i</v>
      </c>
      <c r="Q137" s="67">
        <f t="shared" si="116"/>
        <v>1.4507258934619225</v>
      </c>
      <c r="R137" s="67">
        <f t="shared" si="117"/>
        <v>0.81026000325141057</v>
      </c>
      <c r="S137" s="67" t="str">
        <f t="shared" si="105"/>
        <v>1+0,0291945054703994i</v>
      </c>
      <c r="T137" s="67">
        <f t="shared" si="118"/>
        <v>1.0004260688075162</v>
      </c>
      <c r="U137" s="67">
        <f t="shared" si="119"/>
        <v>2.9186215364117318E-2</v>
      </c>
      <c r="V137" t="str">
        <f t="shared" si="106"/>
        <v>1-0,00608218863966654i</v>
      </c>
      <c r="W137" s="67">
        <f t="shared" si="120"/>
        <v>1.000018496338267</v>
      </c>
      <c r="X137" s="67">
        <f t="shared" si="121"/>
        <v>-6.0821136418252476E-3</v>
      </c>
      <c r="Y137" t="str">
        <f t="shared" si="107"/>
        <v>0,999998464746932+0,0105536032497746i</v>
      </c>
      <c r="Z137" s="67">
        <f t="shared" si="122"/>
        <v>1.0000541525526379</v>
      </c>
      <c r="AA137" s="67">
        <f t="shared" si="123"/>
        <v>1.0553227661649255E-2</v>
      </c>
      <c r="AB137" s="92" t="str">
        <f t="shared" si="124"/>
        <v>6,61694326673108-6,78190435538866i</v>
      </c>
      <c r="AC137" s="37">
        <f t="shared" si="125"/>
        <v>19.53170723918192</v>
      </c>
      <c r="AD137" s="60">
        <f t="shared" si="126"/>
        <v>-45.705366381687242</v>
      </c>
      <c r="AE137" t="str">
        <f t="shared" si="127"/>
        <v>21,0353732052265</v>
      </c>
      <c r="AF137" t="str">
        <f t="shared" si="108"/>
        <v>1+0,52550109846719i</v>
      </c>
      <c r="AG137">
        <f t="shared" si="128"/>
        <v>1.1296687144867841</v>
      </c>
      <c r="AH137">
        <f t="shared" si="129"/>
        <v>0.48383974639378541</v>
      </c>
      <c r="AI137" t="str">
        <f t="shared" si="109"/>
        <v>1+0,0291945054703994i</v>
      </c>
      <c r="AJ137">
        <f t="shared" si="130"/>
        <v>1.0004260688075162</v>
      </c>
      <c r="AK137">
        <f t="shared" si="131"/>
        <v>2.9186215364117318E-2</v>
      </c>
      <c r="AL137" t="str">
        <f t="shared" si="110"/>
        <v>1-0,00198643449153807i</v>
      </c>
      <c r="AM137">
        <f t="shared" si="132"/>
        <v>1.0000019729590484</v>
      </c>
      <c r="AN137">
        <f t="shared" si="133"/>
        <v>-1.9864318787724089E-3</v>
      </c>
      <c r="AO137" s="58" t="str">
        <f t="shared" si="134"/>
        <v>16,7200804625703-8,21408872230586i</v>
      </c>
      <c r="AP137">
        <f t="shared" si="135"/>
        <v>25.403699539219708</v>
      </c>
      <c r="AQ137" s="60">
        <f t="shared" si="136"/>
        <v>-26.163542631664111</v>
      </c>
      <c r="AR137" t="str">
        <f t="shared" si="111"/>
        <v>-1,05811623246493</v>
      </c>
      <c r="AS137" t="str">
        <f t="shared" si="112"/>
        <v>1+0,0287741045916257i</v>
      </c>
      <c r="AT137">
        <f t="shared" si="137"/>
        <v>1.0004138888955161</v>
      </c>
      <c r="AU137">
        <f t="shared" si="138"/>
        <v>2.8766167369603069E-2</v>
      </c>
      <c r="AV137" t="str">
        <f t="shared" si="113"/>
        <v>1+0,0287741045916257i</v>
      </c>
      <c r="AW137">
        <f t="shared" si="139"/>
        <v>1.0004138888955161</v>
      </c>
      <c r="AX137">
        <f t="shared" si="140"/>
        <v>2.8766167369603069E-2</v>
      </c>
      <c r="AY137" t="str">
        <f t="shared" si="114"/>
        <v>1-0,884633798889911i</v>
      </c>
      <c r="AZ137">
        <f t="shared" si="141"/>
        <v>1.3351318130201211</v>
      </c>
      <c r="BA137">
        <f t="shared" si="142"/>
        <v>-0.7242603309853467</v>
      </c>
      <c r="BB137" s="58" t="str">
        <f t="shared" si="143"/>
        <v>-1,03032930451418+0,965692185564439i</v>
      </c>
      <c r="BC137">
        <f t="shared" si="144"/>
        <v>2.997556173367105</v>
      </c>
      <c r="BD137" s="60">
        <f t="shared" si="145"/>
        <v>136.85475978274627</v>
      </c>
      <c r="BE137" s="58" t="str">
        <f t="shared" si="146"/>
        <v>-0,268398514776556+13,3775252027747i</v>
      </c>
      <c r="BF137" s="37">
        <f t="shared" si="147"/>
        <v>22.529263412549017</v>
      </c>
      <c r="BG137" s="60">
        <f t="shared" si="148"/>
        <v>91.149393401059029</v>
      </c>
      <c r="BH137" s="58" t="str">
        <f t="shared" si="149"/>
        <v>-9,29490758375743+24,609667365184i</v>
      </c>
      <c r="BI137" s="37">
        <f t="shared" si="150"/>
        <v>28.401255712586824</v>
      </c>
      <c r="BJ137" s="60">
        <f t="shared" si="151"/>
        <v>110.69121715108213</v>
      </c>
      <c r="BK137">
        <f t="shared" si="152"/>
        <v>22.529263412549017</v>
      </c>
      <c r="BL137" s="60">
        <f t="shared" si="153"/>
        <v>91.149393401059029</v>
      </c>
      <c r="BN137">
        <f t="shared" si="154"/>
        <v>0</v>
      </c>
      <c r="BO137">
        <f t="shared" si="155"/>
        <v>0</v>
      </c>
    </row>
    <row r="138" spans="13:67" x14ac:dyDescent="0.25">
      <c r="M138" s="66">
        <v>20</v>
      </c>
      <c r="N138" s="36">
        <f t="shared" si="156"/>
        <v>158.48931924611153</v>
      </c>
      <c r="O138" s="91" t="str">
        <f t="shared" si="103"/>
        <v>13,7404580152672</v>
      </c>
      <c r="P138" s="67" t="str">
        <f t="shared" si="104"/>
        <v>1+1,07548318299463i</v>
      </c>
      <c r="Q138" s="67">
        <f t="shared" si="116"/>
        <v>1.4685585030581045</v>
      </c>
      <c r="R138" s="67">
        <f t="shared" si="117"/>
        <v>0.8217511097461403</v>
      </c>
      <c r="S138" s="67" t="str">
        <f t="shared" si="105"/>
        <v>1+0,0298745328609619i</v>
      </c>
      <c r="T138" s="67">
        <f t="shared" si="118"/>
        <v>1.0004461443344468</v>
      </c>
      <c r="U138" s="67">
        <f t="shared" si="119"/>
        <v>2.9865650065971597E-2</v>
      </c>
      <c r="V138" t="str">
        <f t="shared" si="106"/>
        <v>1-0,00622386101270039i</v>
      </c>
      <c r="W138" s="67">
        <f t="shared" si="120"/>
        <v>1.0000193680353924</v>
      </c>
      <c r="X138" s="67">
        <f t="shared" si="121"/>
        <v>-6.2237806511496541E-3</v>
      </c>
      <c r="Y138" t="str">
        <f t="shared" si="107"/>
        <v>0,999998392392684+0,0107994282488057i</v>
      </c>
      <c r="Z138" s="67">
        <f t="shared" si="122"/>
        <v>1.0000567046115203</v>
      </c>
      <c r="AA138" s="67">
        <f t="shared" si="123"/>
        <v>1.0799025800110766E-2</v>
      </c>
      <c r="AB138" s="92" t="str">
        <f t="shared" si="124"/>
        <v>6,46127541680694-6,77245921262585i</v>
      </c>
      <c r="AC138" s="37">
        <f t="shared" si="125"/>
        <v>19.425749151769661</v>
      </c>
      <c r="AD138" s="60">
        <f t="shared" si="126"/>
        <v>-46.347029662576041</v>
      </c>
      <c r="AE138" t="str">
        <f t="shared" si="127"/>
        <v>21,0353732052265</v>
      </c>
      <c r="AF138" t="str">
        <f t="shared" si="108"/>
        <v>1+0,537741591497315i</v>
      </c>
      <c r="AG138">
        <f t="shared" si="128"/>
        <v>1.1354144702380999</v>
      </c>
      <c r="AH138">
        <f t="shared" si="129"/>
        <v>0.4933830771723639</v>
      </c>
      <c r="AI138" t="str">
        <f t="shared" si="109"/>
        <v>1+0,0298745328609619i</v>
      </c>
      <c r="AJ138">
        <f t="shared" si="130"/>
        <v>1.0004461443344468</v>
      </c>
      <c r="AK138">
        <f t="shared" si="131"/>
        <v>2.9865650065971597E-2</v>
      </c>
      <c r="AL138" t="str">
        <f t="shared" si="110"/>
        <v>1-0,0020327044948157i</v>
      </c>
      <c r="AM138">
        <f t="shared" si="132"/>
        <v>1.0000020659416475</v>
      </c>
      <c r="AN138">
        <f t="shared" si="133"/>
        <v>-2.0327016951871666E-3</v>
      </c>
      <c r="AO138" s="58" t="str">
        <f t="shared" si="134"/>
        <v>16,5623246123983-8,32058754556846i</v>
      </c>
      <c r="AP138">
        <f t="shared" si="135"/>
        <v>25.35980817705093</v>
      </c>
      <c r="AQ138" s="60">
        <f t="shared" si="136"/>
        <v>-26.67405753210236</v>
      </c>
      <c r="AR138" t="str">
        <f t="shared" si="111"/>
        <v>-1,05811623246493</v>
      </c>
      <c r="AS138" t="str">
        <f t="shared" si="112"/>
        <v>1+0,0294443395877641i</v>
      </c>
      <c r="AT138">
        <f t="shared" si="137"/>
        <v>1.0004333906531506</v>
      </c>
      <c r="AU138">
        <f t="shared" si="138"/>
        <v>2.9435834900111462E-2</v>
      </c>
      <c r="AV138" t="str">
        <f t="shared" si="113"/>
        <v>1+0,0294443395877641i</v>
      </c>
      <c r="AW138">
        <f t="shared" si="139"/>
        <v>1.0004333906531506</v>
      </c>
      <c r="AX138">
        <f t="shared" si="140"/>
        <v>2.9435834900111462E-2</v>
      </c>
      <c r="AY138" t="str">
        <f t="shared" si="114"/>
        <v>1-0,864497075190757i</v>
      </c>
      <c r="AZ138">
        <f t="shared" si="141"/>
        <v>1.3218756344729914</v>
      </c>
      <c r="BA138">
        <f t="shared" si="142"/>
        <v>-0.71285038751929042</v>
      </c>
      <c r="BB138" s="58" t="str">
        <f t="shared" si="143"/>
        <v>-1,03028913584983+0,945074571367341i</v>
      </c>
      <c r="BC138">
        <f t="shared" si="144"/>
        <v>2.9107159204649733</v>
      </c>
      <c r="BD138" s="60">
        <f t="shared" si="145"/>
        <v>137.47013226465921</v>
      </c>
      <c r="BE138" s="58" t="str">
        <f t="shared" si="146"/>
        <v>-0,256502878194598+13,0839782447797i</v>
      </c>
      <c r="BF138" s="37">
        <f t="shared" si="147"/>
        <v>22.33646507223466</v>
      </c>
      <c r="BG138" s="60">
        <f t="shared" si="148"/>
        <v>91.123102602083165</v>
      </c>
      <c r="BH138" s="58" t="str">
        <f t="shared" si="149"/>
        <v>-9,20040740441967+24,2252427859957i</v>
      </c>
      <c r="BI138" s="37">
        <f t="shared" si="150"/>
        <v>28.270524097515914</v>
      </c>
      <c r="BJ138" s="60">
        <f t="shared" si="151"/>
        <v>110.79607473255682</v>
      </c>
      <c r="BK138">
        <f t="shared" si="152"/>
        <v>22.33646507223466</v>
      </c>
      <c r="BL138" s="60">
        <f t="shared" si="153"/>
        <v>91.123102602083165</v>
      </c>
      <c r="BN138">
        <f t="shared" si="154"/>
        <v>0</v>
      </c>
      <c r="BO138">
        <f t="shared" si="155"/>
        <v>0</v>
      </c>
    </row>
    <row r="139" spans="13:67" x14ac:dyDescent="0.25">
      <c r="M139" s="66">
        <v>21</v>
      </c>
      <c r="N139" s="36">
        <f t="shared" si="156"/>
        <v>162.18100973589304</v>
      </c>
      <c r="O139" s="91" t="str">
        <f t="shared" si="103"/>
        <v>13,7404580152672</v>
      </c>
      <c r="P139" s="67" t="str">
        <f t="shared" si="104"/>
        <v>1+1,1005344044742i</v>
      </c>
      <c r="Q139" s="67">
        <f t="shared" si="116"/>
        <v>1.4870023454693615</v>
      </c>
      <c r="R139" s="67">
        <f t="shared" si="117"/>
        <v>0.83322301434576596</v>
      </c>
      <c r="S139" s="67" t="str">
        <f t="shared" si="105"/>
        <v>1+0,0305704001242833i</v>
      </c>
      <c r="T139" s="67">
        <f t="shared" si="118"/>
        <v>1.000467165560049</v>
      </c>
      <c r="U139" s="67">
        <f t="shared" si="119"/>
        <v>3.0560882277989875E-2</v>
      </c>
      <c r="V139" t="str">
        <f t="shared" si="106"/>
        <v>1-0,00636883335922569i</v>
      </c>
      <c r="W139" s="67">
        <f t="shared" si="120"/>
        <v>1.0000202808135232</v>
      </c>
      <c r="X139" s="67">
        <f t="shared" si="121"/>
        <v>-6.3687472503669938E-3</v>
      </c>
      <c r="Y139" t="str">
        <f t="shared" si="107"/>
        <v>0,999998316628485+0,0110509792476417i</v>
      </c>
      <c r="Z139" s="67">
        <f t="shared" si="122"/>
        <v>1.0000593769382573</v>
      </c>
      <c r="AA139" s="67">
        <f t="shared" si="123"/>
        <v>1.1050548017478247E-2</v>
      </c>
      <c r="AB139" s="92" t="str">
        <f t="shared" si="124"/>
        <v>6,30612725565713-6,75946648471397i</v>
      </c>
      <c r="AC139" s="37">
        <f t="shared" si="125"/>
        <v>19.317508347999318</v>
      </c>
      <c r="AD139" s="60">
        <f t="shared" si="126"/>
        <v>-46.987204643395494</v>
      </c>
      <c r="AE139" t="str">
        <f t="shared" si="127"/>
        <v>21,0353732052265</v>
      </c>
      <c r="AF139" t="str">
        <f t="shared" si="108"/>
        <v>1+0,5502672022371i</v>
      </c>
      <c r="AG139">
        <f t="shared" si="128"/>
        <v>1.1414000148317178</v>
      </c>
      <c r="AH139">
        <f t="shared" si="129"/>
        <v>0.50304833345246269</v>
      </c>
      <c r="AI139" t="str">
        <f t="shared" si="109"/>
        <v>1+0,0305704001242833i</v>
      </c>
      <c r="AJ139">
        <f t="shared" si="130"/>
        <v>1.000467165560049</v>
      </c>
      <c r="AK139">
        <f t="shared" si="131"/>
        <v>3.0560882277989875E-2</v>
      </c>
      <c r="AL139" t="str">
        <f t="shared" si="110"/>
        <v>1-0,00208005226492249i</v>
      </c>
      <c r="AM139">
        <f t="shared" si="132"/>
        <v>1.0000021633063725</v>
      </c>
      <c r="AN139">
        <f t="shared" si="133"/>
        <v>-2.0800492650668197E-3</v>
      </c>
      <c r="AO139" s="58" t="str">
        <f t="shared" si="134"/>
        <v>16,4005121642791-8,425358843925i</v>
      </c>
      <c r="AP139">
        <f t="shared" si="135"/>
        <v>25.314322545745224</v>
      </c>
      <c r="AQ139" s="60">
        <f t="shared" si="136"/>
        <v>-27.190714869258443</v>
      </c>
      <c r="AR139" t="str">
        <f t="shared" si="111"/>
        <v>-1,05811623246493</v>
      </c>
      <c r="AS139" t="str">
        <f t="shared" si="112"/>
        <v>1+0,0301301863624936i</v>
      </c>
      <c r="AT139">
        <f t="shared" si="137"/>
        <v>1.0004538110928654</v>
      </c>
      <c r="AU139">
        <f t="shared" si="138"/>
        <v>3.0121073648729187E-2</v>
      </c>
      <c r="AV139" t="str">
        <f t="shared" si="113"/>
        <v>1+0,0301301863624936i</v>
      </c>
      <c r="AW139">
        <f t="shared" si="139"/>
        <v>1.0004538110928654</v>
      </c>
      <c r="AX139">
        <f t="shared" si="140"/>
        <v>3.0121073648729187E-2</v>
      </c>
      <c r="AY139" t="str">
        <f t="shared" si="114"/>
        <v>1-0,844818719283845i</v>
      </c>
      <c r="AZ139">
        <f t="shared" si="141"/>
        <v>1.3090907793015716</v>
      </c>
      <c r="BA139">
        <f t="shared" si="142"/>
        <v>-0.70147836239762718</v>
      </c>
      <c r="BB139" s="58" t="str">
        <f t="shared" si="143"/>
        <v>-1,03024707745145+0,924957936807496i</v>
      </c>
      <c r="BC139">
        <f t="shared" si="144"/>
        <v>2.8261219568555207</v>
      </c>
      <c r="BD139" s="60">
        <f t="shared" si="145"/>
        <v>138.08244002039254</v>
      </c>
      <c r="BE139" s="58" t="str">
        <f t="shared" si="146"/>
        <v>-0,244647001557239+12,7968230466457i</v>
      </c>
      <c r="BF139" s="37">
        <f t="shared" si="147"/>
        <v>22.143630304854824</v>
      </c>
      <c r="BG139" s="60">
        <f t="shared" si="148"/>
        <v>91.095235376997039</v>
      </c>
      <c r="BH139" s="58" t="str">
        <f t="shared" si="149"/>
        <v>-9,10347719281584+23,8499852194913i</v>
      </c>
      <c r="BI139" s="37">
        <f t="shared" si="150"/>
        <v>28.140444502600751</v>
      </c>
      <c r="BJ139" s="60">
        <f t="shared" si="151"/>
        <v>110.89172515113408</v>
      </c>
      <c r="BK139">
        <f t="shared" si="152"/>
        <v>22.143630304854824</v>
      </c>
      <c r="BL139" s="60">
        <f t="shared" si="153"/>
        <v>91.095235376997039</v>
      </c>
      <c r="BN139">
        <f t="shared" si="154"/>
        <v>0</v>
      </c>
      <c r="BO139">
        <f t="shared" si="155"/>
        <v>0</v>
      </c>
    </row>
    <row r="140" spans="13:67" x14ac:dyDescent="0.25">
      <c r="M140" s="66">
        <v>22</v>
      </c>
      <c r="N140" s="36">
        <f t="shared" si="156"/>
        <v>165.95869074375622</v>
      </c>
      <c r="O140" s="91" t="str">
        <f t="shared" si="103"/>
        <v>13,7404580152672</v>
      </c>
      <c r="P140" s="67" t="str">
        <f t="shared" si="104"/>
        <v>1+1,12616914386232i</v>
      </c>
      <c r="Q140" s="67">
        <f t="shared" si="116"/>
        <v>1.5060733516623919</v>
      </c>
      <c r="R140" s="67">
        <f t="shared" si="117"/>
        <v>0.84466972257321216</v>
      </c>
      <c r="S140" s="67" t="str">
        <f t="shared" si="105"/>
        <v>1+0,0312824762183979i</v>
      </c>
      <c r="T140" s="67">
        <f t="shared" si="118"/>
        <v>1.0004891770121027</v>
      </c>
      <c r="U140" s="67">
        <f t="shared" si="119"/>
        <v>3.1272277931644069E-2</v>
      </c>
      <c r="V140" t="str">
        <f t="shared" si="106"/>
        <v>1-0,00651718254549956i</v>
      </c>
      <c r="W140" s="67">
        <f t="shared" si="120"/>
        <v>1.0000212366086689</v>
      </c>
      <c r="X140" s="67">
        <f t="shared" si="121"/>
        <v>-6.5170902783009401E-3</v>
      </c>
      <c r="Y140" t="str">
        <f t="shared" si="107"/>
        <v>0,99999823729363+0,0113083896219518i</v>
      </c>
      <c r="Z140" s="67">
        <f t="shared" si="122"/>
        <v>1.000062175200227</v>
      </c>
      <c r="AA140" s="67">
        <f t="shared" si="123"/>
        <v>1.1307927552057871E-2</v>
      </c>
      <c r="AB140" s="92" t="str">
        <f t="shared" si="124"/>
        <v>6,15165972743337-6,7429606083868i</v>
      </c>
      <c r="AC140" s="37">
        <f t="shared" si="125"/>
        <v>19.206994029939061</v>
      </c>
      <c r="AD140" s="60">
        <f t="shared" si="126"/>
        <v>-47.625538936112903</v>
      </c>
      <c r="AE140" t="str">
        <f t="shared" si="127"/>
        <v>21,0353732052265</v>
      </c>
      <c r="AF140" t="str">
        <f t="shared" si="108"/>
        <v>1+0,563084571931163i</v>
      </c>
      <c r="AG140">
        <f t="shared" si="128"/>
        <v>1.1476341904748659</v>
      </c>
      <c r="AH140">
        <f t="shared" si="129"/>
        <v>0.51283341589855203</v>
      </c>
      <c r="AI140" t="str">
        <f t="shared" si="109"/>
        <v>1+0,0312824762183979i</v>
      </c>
      <c r="AJ140">
        <f t="shared" si="130"/>
        <v>1.0004891770121027</v>
      </c>
      <c r="AK140">
        <f t="shared" si="131"/>
        <v>3.1272277931644069E-2</v>
      </c>
      <c r="AL140" t="str">
        <f t="shared" si="110"/>
        <v>1-0,0021285029062729i</v>
      </c>
      <c r="AM140">
        <f t="shared" si="132"/>
        <v>1.0000022652597453</v>
      </c>
      <c r="AN140">
        <f t="shared" si="133"/>
        <v>-2.1284996918700294E-3</v>
      </c>
      <c r="AO140" s="58" t="str">
        <f t="shared" si="134"/>
        <v>16,2346627960793-8,52822344194135i</v>
      </c>
      <c r="AP140">
        <f t="shared" si="135"/>
        <v>25.2672024395441</v>
      </c>
      <c r="AQ140" s="60">
        <f t="shared" si="136"/>
        <v>-27.713374832060076</v>
      </c>
      <c r="AR140" t="str">
        <f t="shared" si="111"/>
        <v>-1,05811623246493</v>
      </c>
      <c r="AS140" t="str">
        <f t="shared" si="112"/>
        <v>1+0,030832008560853i</v>
      </c>
      <c r="AT140">
        <f t="shared" si="137"/>
        <v>1.0004751934715306</v>
      </c>
      <c r="AU140">
        <f t="shared" si="138"/>
        <v>3.0822244362596233E-2</v>
      </c>
      <c r="AV140" t="str">
        <f t="shared" si="113"/>
        <v>1+0,030832008560853i</v>
      </c>
      <c r="AW140">
        <f t="shared" si="139"/>
        <v>1.0004751934715306</v>
      </c>
      <c r="AX140">
        <f t="shared" si="140"/>
        <v>3.0822244362596233E-2</v>
      </c>
      <c r="AY140" t="str">
        <f t="shared" si="114"/>
        <v>1-0,825588297444389i</v>
      </c>
      <c r="AZ140">
        <f t="shared" si="141"/>
        <v>1.2967636781145302</v>
      </c>
      <c r="BA140">
        <f t="shared" si="142"/>
        <v>-0.69014999048344339</v>
      </c>
      <c r="BB140" s="58" t="str">
        <f t="shared" si="143"/>
        <v>-1,03020304058204+0,905331607825635i</v>
      </c>
      <c r="BC140">
        <f t="shared" si="144"/>
        <v>2.7437577920859777</v>
      </c>
      <c r="BD140" s="60">
        <f t="shared" si="145"/>
        <v>138.69133379720714</v>
      </c>
      <c r="BE140" s="58" t="str">
        <f t="shared" si="146"/>
        <v>-0,232843186732198+12,5159105131185i</v>
      </c>
      <c r="BF140" s="37">
        <f t="shared" si="147"/>
        <v>21.950751822025062</v>
      </c>
      <c r="BG140" s="60">
        <f t="shared" si="148"/>
        <v>91.065794861094219</v>
      </c>
      <c r="BH140" s="58" t="str">
        <f t="shared" si="149"/>
        <v>-9,00412873475598+23,4835550923325i</v>
      </c>
      <c r="BI140" s="37">
        <f t="shared" si="150"/>
        <v>28.010960231630079</v>
      </c>
      <c r="BJ140" s="60">
        <f t="shared" si="151"/>
        <v>110.97795896514704</v>
      </c>
      <c r="BK140">
        <f t="shared" si="152"/>
        <v>21.950751822025062</v>
      </c>
      <c r="BL140" s="60">
        <f t="shared" si="153"/>
        <v>91.065794861094219</v>
      </c>
      <c r="BN140">
        <f t="shared" si="154"/>
        <v>0</v>
      </c>
      <c r="BO140">
        <f t="shared" si="155"/>
        <v>0</v>
      </c>
    </row>
    <row r="141" spans="13:67" x14ac:dyDescent="0.25">
      <c r="M141" s="66">
        <v>23</v>
      </c>
      <c r="N141" s="36">
        <f t="shared" si="156"/>
        <v>169.82436524617444</v>
      </c>
      <c r="O141" s="91" t="str">
        <f t="shared" si="103"/>
        <v>13,7404580152672</v>
      </c>
      <c r="P141" s="67" t="str">
        <f t="shared" si="104"/>
        <v>1+1,15240099303713i</v>
      </c>
      <c r="Q141" s="67">
        <f t="shared" si="116"/>
        <v>1.5257876814134277</v>
      </c>
      <c r="R141" s="67">
        <f t="shared" si="117"/>
        <v>0.8560853059590211</v>
      </c>
      <c r="S141" s="67" t="str">
        <f t="shared" si="105"/>
        <v>1+0,0320111386954758i</v>
      </c>
      <c r="T141" s="67">
        <f t="shared" si="118"/>
        <v>1.0005122253129048</v>
      </c>
      <c r="U141" s="67">
        <f t="shared" si="119"/>
        <v>3.2000211336471969E-2</v>
      </c>
      <c r="V141" t="str">
        <f t="shared" si="106"/>
        <v>1-0,00666898722822413i</v>
      </c>
      <c r="W141" s="67">
        <f t="shared" si="120"/>
        <v>1.0000222374480729</v>
      </c>
      <c r="X141" s="67">
        <f t="shared" si="121"/>
        <v>-6.6688883622583062E-3</v>
      </c>
      <c r="Y141" t="str">
        <f t="shared" si="107"/>
        <v>0,999998154219838+0,0115717958541236i</v>
      </c>
      <c r="Z141" s="67">
        <f t="shared" si="122"/>
        <v>1.0000651053318339</v>
      </c>
      <c r="AA141" s="67">
        <f t="shared" si="123"/>
        <v>1.1571300739052366E-2</v>
      </c>
      <c r="AB141" s="92" t="str">
        <f t="shared" si="124"/>
        <v>5,99803093143783-6,72298502560025i</v>
      </c>
      <c r="AC141" s="37">
        <f t="shared" si="125"/>
        <v>19.094217767806374</v>
      </c>
      <c r="AD141" s="60">
        <f t="shared" si="126"/>
        <v>-48.261683734536746</v>
      </c>
      <c r="AE141" t="str">
        <f t="shared" si="127"/>
        <v>21,0353732052265</v>
      </c>
      <c r="AF141" t="str">
        <f t="shared" si="108"/>
        <v>1+0,576200496518565i</v>
      </c>
      <c r="AG141">
        <f t="shared" si="128"/>
        <v>1.1541260815821817</v>
      </c>
      <c r="AH141">
        <f t="shared" si="129"/>
        <v>0.5227360167705285</v>
      </c>
      <c r="AI141" t="str">
        <f t="shared" si="109"/>
        <v>1+0,0320111386954758i</v>
      </c>
      <c r="AJ141">
        <f t="shared" si="130"/>
        <v>1.0005122253129048</v>
      </c>
      <c r="AK141">
        <f t="shared" si="131"/>
        <v>3.2000211336471969E-2</v>
      </c>
      <c r="AL141" t="str">
        <f t="shared" si="110"/>
        <v>1-0,00217808210803827i</v>
      </c>
      <c r="AM141">
        <f t="shared" si="132"/>
        <v>1.0000023720180213</v>
      </c>
      <c r="AN141">
        <f t="shared" si="133"/>
        <v>-2.1780786637439807E-3</v>
      </c>
      <c r="AO141" s="58" t="str">
        <f t="shared" si="134"/>
        <v>16,0648059491366-8,62899968519754i</v>
      </c>
      <c r="AP141">
        <f t="shared" si="135"/>
        <v>25.21840791688318</v>
      </c>
      <c r="AQ141" s="60">
        <f t="shared" si="136"/>
        <v>-28.241885222204655</v>
      </c>
      <c r="AR141" t="str">
        <f t="shared" si="111"/>
        <v>-1,05811623246493</v>
      </c>
      <c r="AS141" t="str">
        <f t="shared" si="112"/>
        <v>1+0,031550178298261i</v>
      </c>
      <c r="AT141">
        <f t="shared" si="137"/>
        <v>1.0004975830808649</v>
      </c>
      <c r="AU141">
        <f t="shared" si="138"/>
        <v>3.153971605233738E-2</v>
      </c>
      <c r="AV141" t="str">
        <f t="shared" si="113"/>
        <v>1+0,031550178298261i</v>
      </c>
      <c r="AW141">
        <f t="shared" si="139"/>
        <v>1.0004975830808649</v>
      </c>
      <c r="AX141">
        <f t="shared" si="140"/>
        <v>3.153971605233738E-2</v>
      </c>
      <c r="AY141" t="str">
        <f t="shared" si="114"/>
        <v>1-0,806795613448197i</v>
      </c>
      <c r="AZ141">
        <f t="shared" si="141"/>
        <v>1.2848809913292563</v>
      </c>
      <c r="BA141">
        <f t="shared" si="142"/>
        <v>-0.678870894883433</v>
      </c>
      <c r="BB141" s="58" t="str">
        <f t="shared" si="143"/>
        <v>-1,03015693235366+0,886185169761986i</v>
      </c>
      <c r="BC141">
        <f t="shared" si="144"/>
        <v>2.6636047446589877</v>
      </c>
      <c r="BD141" s="60">
        <f t="shared" si="145"/>
        <v>139.29647027206985</v>
      </c>
      <c r="BE141" s="58" t="str">
        <f t="shared" si="146"/>
        <v>-0,221103518273512+12,2410956894458i</v>
      </c>
      <c r="BF141" s="37">
        <f t="shared" si="147"/>
        <v>21.757822512465346</v>
      </c>
      <c r="BG141" s="60">
        <f t="shared" si="148"/>
        <v>91.034786537533108</v>
      </c>
      <c r="BH141" s="58" t="str">
        <f t="shared" si="149"/>
        <v>-8,90237966451648+23,1256166322128i</v>
      </c>
      <c r="BI141" s="37">
        <f t="shared" si="150"/>
        <v>27.882012661542177</v>
      </c>
      <c r="BJ141" s="60">
        <f t="shared" si="151"/>
        <v>111.05458504986518</v>
      </c>
      <c r="BK141">
        <f t="shared" si="152"/>
        <v>21.757822512465346</v>
      </c>
      <c r="BL141" s="60">
        <f t="shared" si="153"/>
        <v>91.034786537533108</v>
      </c>
      <c r="BN141">
        <f t="shared" si="154"/>
        <v>0</v>
      </c>
      <c r="BO141">
        <f t="shared" si="155"/>
        <v>0</v>
      </c>
    </row>
    <row r="142" spans="13:67" x14ac:dyDescent="0.25">
      <c r="M142" s="66">
        <v>24</v>
      </c>
      <c r="N142" s="36">
        <f t="shared" si="156"/>
        <v>173.78008287493768</v>
      </c>
      <c r="O142" s="91" t="str">
        <f t="shared" si="103"/>
        <v>13,7404580152672</v>
      </c>
      <c r="P142" s="67" t="str">
        <f t="shared" si="104"/>
        <v>1+1,17924386047228i</v>
      </c>
      <c r="Q142" s="67">
        <f t="shared" si="116"/>
        <v>1.546161725842923</v>
      </c>
      <c r="R142" s="67">
        <f t="shared" si="117"/>
        <v>0.86746391709160242</v>
      </c>
      <c r="S142" s="67" t="str">
        <f t="shared" si="105"/>
        <v>1+0,0327567739020078i</v>
      </c>
      <c r="T142" s="67">
        <f t="shared" si="118"/>
        <v>1.0005363592775962</v>
      </c>
      <c r="U142" s="67">
        <f t="shared" si="119"/>
        <v>3.2745065364856156E-2</v>
      </c>
      <c r="V142" t="str">
        <f t="shared" si="106"/>
        <v>1-0,00682432789625163i</v>
      </c>
      <c r="W142" s="67">
        <f t="shared" si="120"/>
        <v>1.0000232854545117</v>
      </c>
      <c r="X142" s="67">
        <f t="shared" si="121"/>
        <v>-6.8242219595938437E-3</v>
      </c>
      <c r="Y142" t="str">
        <f t="shared" si="107"/>
        <v>0,999998067230899+0,0118413376056283i</v>
      </c>
      <c r="Z142" s="67">
        <f t="shared" si="122"/>
        <v>1.0000681735470958</v>
      </c>
      <c r="AA142" s="67">
        <f t="shared" si="123"/>
        <v>1.184080708222399E-2</v>
      </c>
      <c r="AB142" s="92" t="str">
        <f t="shared" si="124"/>
        <v>5,84539548732652-6,69959190897962i</v>
      </c>
      <c r="AC142" s="37">
        <f t="shared" si="125"/>
        <v>18.979193454114231</v>
      </c>
      <c r="AD142" s="60">
        <f t="shared" si="126"/>
        <v>-48.895294672534106</v>
      </c>
      <c r="AE142" t="str">
        <f t="shared" si="127"/>
        <v>21,0353732052265</v>
      </c>
      <c r="AF142" t="str">
        <f t="shared" si="108"/>
        <v>1+0,589621930236141i</v>
      </c>
      <c r="AG142">
        <f t="shared" si="128"/>
        <v>1.1608850161042621</v>
      </c>
      <c r="AH142">
        <f t="shared" si="129"/>
        <v>0.53275361739432125</v>
      </c>
      <c r="AI142" t="str">
        <f t="shared" si="109"/>
        <v>1+0,0327567739020078i</v>
      </c>
      <c r="AJ142">
        <f t="shared" si="130"/>
        <v>1.0005363592775962</v>
      </c>
      <c r="AK142">
        <f t="shared" si="131"/>
        <v>3.2745065364856156E-2</v>
      </c>
      <c r="AL142" t="str">
        <f t="shared" si="110"/>
        <v>1-0,00222881615776766i</v>
      </c>
      <c r="AM142">
        <f t="shared" si="132"/>
        <v>1.0000024838076478</v>
      </c>
      <c r="AN142">
        <f t="shared" si="133"/>
        <v>-2.2288124671403309E-3</v>
      </c>
      <c r="AO142" s="58" t="str">
        <f t="shared" si="134"/>
        <v>15,8909812031815-8,72750402602261i</v>
      </c>
      <c r="AP142">
        <f t="shared" si="135"/>
        <v>25.167899401071825</v>
      </c>
      <c r="AQ142" s="60">
        <f t="shared" si="136"/>
        <v>-28.776081299428999</v>
      </c>
      <c r="AR142" t="str">
        <f t="shared" si="111"/>
        <v>-1,05811623246493</v>
      </c>
      <c r="AS142" t="str">
        <f t="shared" si="112"/>
        <v>1+0,0322850763578189i</v>
      </c>
      <c r="AT142">
        <f t="shared" si="137"/>
        <v>1.000521027342969</v>
      </c>
      <c r="AU142">
        <f t="shared" si="138"/>
        <v>3.2273866174611893E-2</v>
      </c>
      <c r="AV142" t="str">
        <f t="shared" si="113"/>
        <v>1+0,0322850763578189i</v>
      </c>
      <c r="AW142">
        <f t="shared" si="139"/>
        <v>1.000521027342969</v>
      </c>
      <c r="AX142">
        <f t="shared" si="140"/>
        <v>3.2273866174611893E-2</v>
      </c>
      <c r="AY142" t="str">
        <f t="shared" si="114"/>
        <v>1-0,788430703165451i</v>
      </c>
      <c r="AZ142">
        <f t="shared" si="141"/>
        <v>1.2734296108124576</v>
      </c>
      <c r="BA142">
        <f t="shared" si="142"/>
        <v>-0.66764657379502879</v>
      </c>
      <c r="BB142" s="58" t="str">
        <f t="shared" si="143"/>
        <v>-1,03010865553486+0,867508461793896i</v>
      </c>
      <c r="BC142">
        <f t="shared" si="144"/>
        <v>2.5856420149932613</v>
      </c>
      <c r="BD142" s="60">
        <f t="shared" si="145"/>
        <v>139.89751279479989</v>
      </c>
      <c r="BE142" s="58" t="str">
        <f t="shared" si="146"/>
        <v>-0,209439814913718+11,9722376617788i</v>
      </c>
      <c r="BF142" s="37">
        <f t="shared" si="147"/>
        <v>21.564835469107464</v>
      </c>
      <c r="BG142" s="60">
        <f t="shared" si="148"/>
        <v>91.002218122265788</v>
      </c>
      <c r="BH142" s="58" t="str">
        <f t="shared" si="149"/>
        <v>-8,79825368942412+22,7758380983889i</v>
      </c>
      <c r="BI142" s="37">
        <f t="shared" si="150"/>
        <v>27.75354141606508</v>
      </c>
      <c r="BJ142" s="60">
        <f t="shared" si="151"/>
        <v>111.12143149537091</v>
      </c>
      <c r="BK142">
        <f t="shared" si="152"/>
        <v>21.564835469107464</v>
      </c>
      <c r="BL142" s="60">
        <f t="shared" si="153"/>
        <v>91.002218122265788</v>
      </c>
      <c r="BN142">
        <f t="shared" si="154"/>
        <v>0</v>
      </c>
      <c r="BO142">
        <f t="shared" si="155"/>
        <v>0</v>
      </c>
    </row>
    <row r="143" spans="13:67" x14ac:dyDescent="0.25">
      <c r="M143" s="66">
        <v>25</v>
      </c>
      <c r="N143" s="36">
        <f t="shared" si="156"/>
        <v>177.82794100389242</v>
      </c>
      <c r="O143" s="91" t="str">
        <f t="shared" si="103"/>
        <v>13,7404580152672</v>
      </c>
      <c r="P143" s="67" t="str">
        <f t="shared" si="104"/>
        <v>1+1,20671197861139i</v>
      </c>
      <c r="Q143" s="67">
        <f t="shared" si="116"/>
        <v>1.5672121105084071</v>
      </c>
      <c r="R143" s="67">
        <f t="shared" si="117"/>
        <v>0.87879980415697689</v>
      </c>
      <c r="S143" s="67" t="str">
        <f t="shared" si="105"/>
        <v>1+0,0335197771836498i</v>
      </c>
      <c r="T143" s="67">
        <f t="shared" si="118"/>
        <v>1.0005616300170828</v>
      </c>
      <c r="U143" s="67">
        <f t="shared" si="119"/>
        <v>3.3507231640366474E-2</v>
      </c>
      <c r="V143" t="str">
        <f t="shared" si="106"/>
        <v>1-0,00698328691326037i</v>
      </c>
      <c r="W143" s="67">
        <f t="shared" si="120"/>
        <v>1.0000243828507946</v>
      </c>
      <c r="X143" s="67">
        <f t="shared" si="121"/>
        <v>-6.9831734002358996E-3</v>
      </c>
      <c r="Y143" t="str">
        <f t="shared" si="107"/>
        <v>0,999997976142297+0,01211715779107i</v>
      </c>
      <c r="Z143" s="67">
        <f t="shared" si="122"/>
        <v>1.0000713863528063</v>
      </c>
      <c r="AA143" s="67">
        <f t="shared" si="123"/>
        <v>1.21165893271915E-2</v>
      </c>
      <c r="AB143" s="92" t="str">
        <f t="shared" si="124"/>
        <v>5,69390393071176-6,67284183518753i</v>
      </c>
      <c r="AC143" s="37">
        <f t="shared" si="125"/>
        <v>18.861937248716917</v>
      </c>
      <c r="AD143" s="60">
        <f t="shared" si="126"/>
        <v>-49.526032652940771</v>
      </c>
      <c r="AE143" t="str">
        <f t="shared" si="127"/>
        <v>21,0353732052265</v>
      </c>
      <c r="AF143" t="str">
        <f t="shared" si="108"/>
        <v>1+0,603355989305697i</v>
      </c>
      <c r="AG143">
        <f t="shared" si="128"/>
        <v>1.1679205665759365</v>
      </c>
      <c r="AH143">
        <f t="shared" si="129"/>
        <v>0.54288348633492789</v>
      </c>
      <c r="AI143" t="str">
        <f t="shared" si="109"/>
        <v>1+0,0335197771836498i</v>
      </c>
      <c r="AJ143">
        <f t="shared" si="130"/>
        <v>1.0005616300170828</v>
      </c>
      <c r="AK143">
        <f t="shared" si="131"/>
        <v>3.3507231640366474E-2</v>
      </c>
      <c r="AL143" t="str">
        <f t="shared" si="110"/>
        <v>1-0,00228073195532577i</v>
      </c>
      <c r="AM143">
        <f t="shared" si="132"/>
        <v>1.0000026008657439</v>
      </c>
      <c r="AN143">
        <f t="shared" si="133"/>
        <v>-2.2807280007478945E-3</v>
      </c>
      <c r="AO143" s="58" t="str">
        <f t="shared" si="134"/>
        <v>15,7132386141137-8,82355165426228i</v>
      </c>
      <c r="AP143">
        <f t="shared" si="135"/>
        <v>25.115637784591076</v>
      </c>
      <c r="AQ143" s="60">
        <f t="shared" si="136"/>
        <v>-29.315785666839353</v>
      </c>
      <c r="AR143" t="str">
        <f t="shared" si="111"/>
        <v>-1,05811623246493</v>
      </c>
      <c r="AS143" t="str">
        <f t="shared" si="112"/>
        <v>1+0,0330370923922053i</v>
      </c>
      <c r="AT143">
        <f t="shared" si="137"/>
        <v>1.0005455759103286</v>
      </c>
      <c r="AU143">
        <f t="shared" si="138"/>
        <v>3.3025080818205307E-2</v>
      </c>
      <c r="AV143" t="str">
        <f t="shared" si="113"/>
        <v>1+0,0330370923922053i</v>
      </c>
      <c r="AW143">
        <f t="shared" si="139"/>
        <v>1.0005455759103286</v>
      </c>
      <c r="AX143">
        <f t="shared" si="140"/>
        <v>3.3025080818205307E-2</v>
      </c>
      <c r="AY143" t="str">
        <f t="shared" si="114"/>
        <v>1-0,770483829277639i</v>
      </c>
      <c r="AZ143">
        <f t="shared" si="141"/>
        <v>1.2623966615839628</v>
      </c>
      <c r="BA143">
        <f t="shared" si="142"/>
        <v>-0.65648238810935999</v>
      </c>
      <c r="BB143" s="58" t="str">
        <f t="shared" si="143"/>
        <v>-1,03005810834919+0,84929157150528i</v>
      </c>
      <c r="BC143">
        <f t="shared" si="144"/>
        <v>2.5098467657296757</v>
      </c>
      <c r="BD143" s="60">
        <f t="shared" si="145"/>
        <v>140.49413208770278</v>
      </c>
      <c r="BE143" s="58" t="str">
        <f t="shared" si="146"/>
        <v>-0,197863583378379+11,7091994553809i</v>
      </c>
      <c r="BF143" s="37">
        <f t="shared" si="147"/>
        <v>21.371784014446604</v>
      </c>
      <c r="BG143" s="60">
        <f t="shared" si="148"/>
        <v>90.968099434762024</v>
      </c>
      <c r="BH143" s="58" t="str">
        <f t="shared" si="149"/>
        <v>-8,69178079218698+22,4338920419288i</v>
      </c>
      <c r="BI143" s="37">
        <f t="shared" si="150"/>
        <v>27.625484550320735</v>
      </c>
      <c r="BJ143" s="60">
        <f t="shared" si="151"/>
        <v>111.17834642086346</v>
      </c>
      <c r="BK143">
        <f t="shared" si="152"/>
        <v>21.371784014446604</v>
      </c>
      <c r="BL143" s="60">
        <f t="shared" si="153"/>
        <v>90.968099434762024</v>
      </c>
      <c r="BN143">
        <f t="shared" si="154"/>
        <v>0</v>
      </c>
      <c r="BO143">
        <f t="shared" si="155"/>
        <v>0</v>
      </c>
    </row>
    <row r="144" spans="13:67" x14ac:dyDescent="0.25">
      <c r="M144" s="66">
        <v>26</v>
      </c>
      <c r="N144" s="36">
        <f t="shared" si="156"/>
        <v>181.9700858609983</v>
      </c>
      <c r="O144" s="91" t="str">
        <f t="shared" si="103"/>
        <v>13,7404580152672</v>
      </c>
      <c r="P144" s="67" t="str">
        <f t="shared" si="104"/>
        <v>1+1,23481991141427i</v>
      </c>
      <c r="Q144" s="67">
        <f t="shared" si="116"/>
        <v>1.5889556990756997</v>
      </c>
      <c r="R144" s="67">
        <f t="shared" si="117"/>
        <v>0.89008732488277786</v>
      </c>
      <c r="S144" s="67" t="str">
        <f t="shared" si="105"/>
        <v>1+0,0343005530948409i</v>
      </c>
      <c r="T144" s="67">
        <f t="shared" si="118"/>
        <v>1.000588091045767</v>
      </c>
      <c r="U144" s="67">
        <f t="shared" si="119"/>
        <v>3.4287110729702287E-2</v>
      </c>
      <c r="V144" t="str">
        <f t="shared" si="106"/>
        <v>1-0,00714594856142519i</v>
      </c>
      <c r="W144" s="67">
        <f t="shared" si="120"/>
        <v>1.0000255319644806</v>
      </c>
      <c r="X144" s="67">
        <f t="shared" si="121"/>
        <v>-7.1458269301957937E-3</v>
      </c>
      <c r="Y144" t="str">
        <f t="shared" si="107"/>
        <v>0,999997880760823+0,012399402653962i</v>
      </c>
      <c r="Z144" s="67">
        <f t="shared" si="122"/>
        <v>1.0000747505623329</v>
      </c>
      <c r="AA144" s="67">
        <f t="shared" si="123"/>
        <v>1.2398793536400271E-2</v>
      </c>
      <c r="AB144" s="92" t="str">
        <f t="shared" si="124"/>
        <v>5,54370214400526-6,64280340998162i</v>
      </c>
      <c r="AC144" s="37">
        <f t="shared" si="125"/>
        <v>18.742467515241742</v>
      </c>
      <c r="AD144" s="60">
        <f t="shared" si="126"/>
        <v>-50.153564642284216</v>
      </c>
      <c r="AE144" t="str">
        <f t="shared" si="127"/>
        <v>21,0353732052265</v>
      </c>
      <c r="AF144" t="str">
        <f t="shared" si="108"/>
        <v>1+0,617409955707137i</v>
      </c>
      <c r="AG144">
        <f t="shared" si="128"/>
        <v>1.175242550883131</v>
      </c>
      <c r="AH144">
        <f t="shared" si="129"/>
        <v>0.55312267832275763</v>
      </c>
      <c r="AI144" t="str">
        <f t="shared" si="109"/>
        <v>1+0,0343005530948409i</v>
      </c>
      <c r="AJ144">
        <f t="shared" si="130"/>
        <v>1.000588091045767</v>
      </c>
      <c r="AK144">
        <f t="shared" si="131"/>
        <v>3.4287110729702287E-2</v>
      </c>
      <c r="AL144" t="str">
        <f t="shared" si="110"/>
        <v>1-0,00233385702715563i</v>
      </c>
      <c r="AM144">
        <f t="shared" si="132"/>
        <v>1.000002723440603</v>
      </c>
      <c r="AN144">
        <f t="shared" si="133"/>
        <v>-2.3338527897497153E-3</v>
      </c>
      <c r="AO144" s="58" t="str">
        <f t="shared" si="134"/>
        <v>15,5316390093424-8,91695717089555i</v>
      </c>
      <c r="AP144">
        <f t="shared" si="135"/>
        <v>25.061584536611559</v>
      </c>
      <c r="AQ144" s="60">
        <f t="shared" si="136"/>
        <v>-29.860808199214176</v>
      </c>
      <c r="AR144" t="str">
        <f t="shared" si="111"/>
        <v>-1,05811623246493</v>
      </c>
      <c r="AS144" t="str">
        <f t="shared" si="112"/>
        <v>1+0,0338066251302752i</v>
      </c>
      <c r="AT144">
        <f t="shared" si="137"/>
        <v>1.0005712807704901</v>
      </c>
      <c r="AU144">
        <f t="shared" si="138"/>
        <v>3.3793754893701573E-2</v>
      </c>
      <c r="AV144" t="str">
        <f t="shared" si="113"/>
        <v>1+0,0338066251302752i</v>
      </c>
      <c r="AW144">
        <f t="shared" si="139"/>
        <v>1.0005712807704901</v>
      </c>
      <c r="AX144">
        <f t="shared" si="140"/>
        <v>3.3793754893701573E-2</v>
      </c>
      <c r="AY144" t="str">
        <f t="shared" si="114"/>
        <v>1-0,752945476114676i</v>
      </c>
      <c r="AZ144">
        <f t="shared" si="141"/>
        <v>1.2517695035435061</v>
      </c>
      <c r="BA144">
        <f t="shared" si="142"/>
        <v>-0.64538354983114588</v>
      </c>
      <c r="BB144" s="58" t="str">
        <f t="shared" si="143"/>
        <v>-1,03000518426465+0,831524829584649i</v>
      </c>
      <c r="BC144">
        <f t="shared" si="144"/>
        <v>2.4361942087117283</v>
      </c>
      <c r="BD144" s="60">
        <f t="shared" si="145"/>
        <v>141.08600689819573</v>
      </c>
      <c r="BE144" s="58" t="str">
        <f t="shared" si="146"/>
        <v>-0,186385974895182+11,451847930894i</v>
      </c>
      <c r="BF144" s="37">
        <f t="shared" si="147"/>
        <v>21.178661723953475</v>
      </c>
      <c r="BG144" s="60">
        <f t="shared" si="148"/>
        <v>90.932442255911525</v>
      </c>
      <c r="BH144" s="58" t="str">
        <f t="shared" si="149"/>
        <v>-8,58299740780721+22,099455594302i</v>
      </c>
      <c r="BI144" s="37">
        <f t="shared" si="150"/>
        <v>27.497778745323291</v>
      </c>
      <c r="BJ144" s="60">
        <f t="shared" si="151"/>
        <v>111.22519869898154</v>
      </c>
      <c r="BK144">
        <f t="shared" si="152"/>
        <v>21.178661723953475</v>
      </c>
      <c r="BL144" s="60">
        <f t="shared" si="153"/>
        <v>90.932442255911525</v>
      </c>
      <c r="BN144">
        <f t="shared" si="154"/>
        <v>0</v>
      </c>
      <c r="BO144">
        <f t="shared" si="155"/>
        <v>0</v>
      </c>
    </row>
    <row r="145" spans="13:67" x14ac:dyDescent="0.25">
      <c r="M145" s="66">
        <v>27</v>
      </c>
      <c r="N145" s="36">
        <f t="shared" si="156"/>
        <v>186.20871366628685</v>
      </c>
      <c r="O145" s="91" t="str">
        <f t="shared" si="103"/>
        <v>13,7404580152672</v>
      </c>
      <c r="P145" s="67" t="str">
        <f t="shared" si="104"/>
        <v>1+1,26358256207897i</v>
      </c>
      <c r="Q145" s="67">
        <f t="shared" si="116"/>
        <v>1.6114095975853111</v>
      </c>
      <c r="R145" s="67">
        <f t="shared" si="117"/>
        <v>0.90132095980812488</v>
      </c>
      <c r="S145" s="67" t="str">
        <f t="shared" si="105"/>
        <v>1+0,0350995156133046i</v>
      </c>
      <c r="T145" s="67">
        <f t="shared" si="118"/>
        <v>1.0006157983943131</v>
      </c>
      <c r="U145" s="67">
        <f t="shared" si="119"/>
        <v>3.5085112338261004E-2</v>
      </c>
      <c r="V145" t="str">
        <f t="shared" si="106"/>
        <v>1-0,00731239908610513i</v>
      </c>
      <c r="W145" s="67">
        <f t="shared" si="120"/>
        <v>1.0000267352328109</v>
      </c>
      <c r="X145" s="67">
        <f t="shared" si="121"/>
        <v>-7.3122687560828944E-3</v>
      </c>
      <c r="Y145" t="str">
        <f t="shared" si="107"/>
        <v>0,999997780884157+0,0126882218442667i</v>
      </c>
      <c r="Z145" s="67">
        <f t="shared" si="122"/>
        <v>1.0000782733100484</v>
      </c>
      <c r="AA145" s="67">
        <f t="shared" si="123"/>
        <v>1.2687569165798527E-2</v>
      </c>
      <c r="AB145" s="92" t="str">
        <f t="shared" si="124"/>
        <v>5,39493082682711-6,6095528492206i</v>
      </c>
      <c r="AC145" s="37">
        <f t="shared" si="125"/>
        <v>18.620804749458667</v>
      </c>
      <c r="AD145" s="60">
        <f t="shared" si="126"/>
        <v>-50.777564426830722</v>
      </c>
      <c r="AE145" t="str">
        <f t="shared" si="127"/>
        <v>21,0353732052265</v>
      </c>
      <c r="AF145" t="str">
        <f t="shared" si="108"/>
        <v>1+0,631791281039483i</v>
      </c>
      <c r="AG145">
        <f t="shared" si="128"/>
        <v>1.1828610327496256</v>
      </c>
      <c r="AH145">
        <f t="shared" si="129"/>
        <v>0.56346803398116296</v>
      </c>
      <c r="AI145" t="str">
        <f t="shared" si="109"/>
        <v>1+0,0350995156133046i</v>
      </c>
      <c r="AJ145">
        <f t="shared" si="130"/>
        <v>1.0006157983943131</v>
      </c>
      <c r="AK145">
        <f t="shared" si="131"/>
        <v>3.5085112338261004E-2</v>
      </c>
      <c r="AL145" t="str">
        <f t="shared" si="110"/>
        <v>1-0,00238821954087354i</v>
      </c>
      <c r="AM145">
        <f t="shared" si="132"/>
        <v>1.0000028517922213</v>
      </c>
      <c r="AN145">
        <f t="shared" si="133"/>
        <v>-2.3882150004119976E-3</v>
      </c>
      <c r="AO145" s="58" t="str">
        <f t="shared" si="134"/>
        <v>15,3462542354732-9,00753530167698i</v>
      </c>
      <c r="AP145">
        <f t="shared" si="135"/>
        <v>25.0057018132824</v>
      </c>
      <c r="AQ145" s="60">
        <f t="shared" si="136"/>
        <v>-30.410946017023459</v>
      </c>
      <c r="AR145" t="str">
        <f t="shared" si="111"/>
        <v>-1,05811623246493</v>
      </c>
      <c r="AS145" t="str">
        <f t="shared" si="112"/>
        <v>1+0,034594082588473i</v>
      </c>
      <c r="AT145">
        <f t="shared" si="137"/>
        <v>1.000598196355629</v>
      </c>
      <c r="AU145">
        <f t="shared" si="138"/>
        <v>3.4580292326765044E-2</v>
      </c>
      <c r="AV145" t="str">
        <f t="shared" si="113"/>
        <v>1+0,034594082588473i</v>
      </c>
      <c r="AW145">
        <f t="shared" si="139"/>
        <v>1.000598196355629</v>
      </c>
      <c r="AX145">
        <f t="shared" si="140"/>
        <v>3.4580292326765044E-2</v>
      </c>
      <c r="AY145" t="str">
        <f t="shared" si="114"/>
        <v>1-0,735806344609557i</v>
      </c>
      <c r="AZ145">
        <f t="shared" si="141"/>
        <v>1.2415357331819645</v>
      </c>
      <c r="BA145">
        <f t="shared" si="142"/>
        <v>-0.63435511136799616</v>
      </c>
      <c r="BB145" s="58" t="str">
        <f t="shared" si="143"/>
        <v>-1,02994977177347+0,814198804648767i</v>
      </c>
      <c r="BC145">
        <f t="shared" si="144"/>
        <v>2.364657697927611</v>
      </c>
      <c r="BD145" s="60">
        <f t="shared" si="145"/>
        <v>141.67282460141013</v>
      </c>
      <c r="BE145" s="58" t="str">
        <f t="shared" si="146"/>
        <v>-0,175017744725975+11,2000536789449i</v>
      </c>
      <c r="BF145" s="37">
        <f t="shared" si="147"/>
        <v>20.985462447386304</v>
      </c>
      <c r="BG145" s="60">
        <f t="shared" si="148"/>
        <v>90.895260174579391</v>
      </c>
      <c r="BH145" s="58" t="str">
        <f t="shared" si="149"/>
        <v>-8,4719465719463+21,772210782562i</v>
      </c>
      <c r="BI145" s="37">
        <f t="shared" si="150"/>
        <v>27.370359511209998</v>
      </c>
      <c r="BJ145" s="60">
        <f t="shared" si="151"/>
        <v>111.26187858438668</v>
      </c>
      <c r="BK145">
        <f t="shared" si="152"/>
        <v>20.985462447386304</v>
      </c>
      <c r="BL145" s="60">
        <f t="shared" si="153"/>
        <v>90.895260174579391</v>
      </c>
      <c r="BN145">
        <f t="shared" si="154"/>
        <v>0</v>
      </c>
      <c r="BO145">
        <f t="shared" si="155"/>
        <v>0</v>
      </c>
    </row>
    <row r="146" spans="13:67" x14ac:dyDescent="0.25">
      <c r="M146" s="66">
        <v>28</v>
      </c>
      <c r="N146" s="36">
        <f t="shared" si="156"/>
        <v>190.54607179632498</v>
      </c>
      <c r="O146" s="91" t="str">
        <f t="shared" si="103"/>
        <v>13,7404580152672</v>
      </c>
      <c r="P146" s="67" t="str">
        <f t="shared" si="104"/>
        <v>1+1,29301518094358i</v>
      </c>
      <c r="Q146" s="67">
        <f t="shared" si="116"/>
        <v>1.6345911593271754</v>
      </c>
      <c r="R146" s="67">
        <f t="shared" si="117"/>
        <v>0.91249532480847817</v>
      </c>
      <c r="S146" s="67" t="str">
        <f t="shared" si="105"/>
        <v>1+0,0359170883595438i</v>
      </c>
      <c r="T146" s="67">
        <f t="shared" si="118"/>
        <v>1.0006448107276764</v>
      </c>
      <c r="U146" s="67">
        <f t="shared" si="119"/>
        <v>3.5901655509354438E-2</v>
      </c>
      <c r="V146" t="str">
        <f t="shared" si="106"/>
        <v>1-0,00748272674157162i</v>
      </c>
      <c r="W146" s="67">
        <f t="shared" si="120"/>
        <v>1.0000279952078788</v>
      </c>
      <c r="X146" s="67">
        <f t="shared" si="121"/>
        <v>-7.4825870906478874E-3</v>
      </c>
      <c r="Y146" t="str">
        <f t="shared" si="107"/>
        <v>0,999997676300449+0,0129837684977418i</v>
      </c>
      <c r="Z146" s="67">
        <f t="shared" si="122"/>
        <v>1.0000819620664601</v>
      </c>
      <c r="AA146" s="67">
        <f t="shared" si="123"/>
        <v>1.2983069143257956E-2</v>
      </c>
      <c r="AB146" s="92" t="str">
        <f t="shared" si="124"/>
        <v>5,2477250097419-6,57317352049353i</v>
      </c>
      <c r="AC146" s="37">
        <f t="shared" si="125"/>
        <v>18.496971500203237</v>
      </c>
      <c r="AD146" s="60">
        <f t="shared" si="126"/>
        <v>-51.397713325894856</v>
      </c>
      <c r="AE146" t="str">
        <f t="shared" si="127"/>
        <v>21,0353732052265</v>
      </c>
      <c r="AF146" t="str">
        <f t="shared" si="108"/>
        <v>1+0,646507590471789i</v>
      </c>
      <c r="AG146">
        <f t="shared" si="128"/>
        <v>1.1907863219476609</v>
      </c>
      <c r="AH146">
        <f t="shared" si="129"/>
        <v>0.57391618039939218</v>
      </c>
      <c r="AI146" t="str">
        <f t="shared" si="109"/>
        <v>1+0,0359170883595438i</v>
      </c>
      <c r="AJ146">
        <f t="shared" si="130"/>
        <v>1.0006448107276764</v>
      </c>
      <c r="AK146">
        <f t="shared" si="131"/>
        <v>3.5901655509354438E-2</v>
      </c>
      <c r="AL146" t="str">
        <f t="shared" si="110"/>
        <v>1-0,00244384832020388i</v>
      </c>
      <c r="AM146">
        <f t="shared" si="132"/>
        <v>1.0000029861928474</v>
      </c>
      <c r="AN146">
        <f t="shared" si="133"/>
        <v>-2.4438434550124672E-3</v>
      </c>
      <c r="AO146" s="58" t="str">
        <f t="shared" si="134"/>
        <v>15,1571673532709-9,09510164732519i</v>
      </c>
      <c r="AP146">
        <f t="shared" si="135"/>
        <v>24.947952570288656</v>
      </c>
      <c r="AQ146" s="60">
        <f t="shared" si="136"/>
        <v>-30.965983508698237</v>
      </c>
      <c r="AR146" t="str">
        <f t="shared" si="111"/>
        <v>-1,05811623246493</v>
      </c>
      <c r="AS146" t="str">
        <f t="shared" si="112"/>
        <v>1+0,0353998822871664i</v>
      </c>
      <c r="AT146">
        <f t="shared" si="137"/>
        <v>1.0006263796572352</v>
      </c>
      <c r="AU146">
        <f t="shared" si="138"/>
        <v>3.5385106255054359E-2</v>
      </c>
      <c r="AV146" t="str">
        <f t="shared" si="113"/>
        <v>1+0,0353998822871664i</v>
      </c>
      <c r="AW146">
        <f t="shared" si="139"/>
        <v>1.0006263796572352</v>
      </c>
      <c r="AX146">
        <f t="shared" si="140"/>
        <v>3.5385106255054359E-2</v>
      </c>
      <c r="AY146" t="str">
        <f t="shared" si="114"/>
        <v>1-0,719057347367891i</v>
      </c>
      <c r="AZ146">
        <f t="shared" si="141"/>
        <v>1.2316831852403229</v>
      </c>
      <c r="BA146">
        <f t="shared" si="142"/>
        <v>-0.62340195573245927</v>
      </c>
      <c r="BB146" s="58" t="str">
        <f t="shared" si="143"/>
        <v>-1,02989175416199+0,797304298188997i</v>
      </c>
      <c r="BC146">
        <f t="shared" si="144"/>
        <v>2.2952088276722056</v>
      </c>
      <c r="BD146" s="60">
        <f t="shared" si="145"/>
        <v>142.25428175029217</v>
      </c>
      <c r="BE146" s="58" t="str">
        <f t="shared" si="146"/>
        <v>-0,163769215011239+10,9536909134133i</v>
      </c>
      <c r="BF146" s="37">
        <f t="shared" si="147"/>
        <v>20.792180327875414</v>
      </c>
      <c r="BG146" s="60">
        <f t="shared" si="148"/>
        <v>90.856568424397324</v>
      </c>
      <c r="BH146" s="58" t="str">
        <f t="shared" si="149"/>
        <v>-8,35867803770882+21,4518448689782i</v>
      </c>
      <c r="BI146" s="37">
        <f t="shared" si="150"/>
        <v>27.243161397960872</v>
      </c>
      <c r="BJ146" s="60">
        <f t="shared" si="151"/>
        <v>111.28829824159394</v>
      </c>
      <c r="BK146">
        <f t="shared" si="152"/>
        <v>20.792180327875414</v>
      </c>
      <c r="BL146" s="60">
        <f t="shared" si="153"/>
        <v>90.856568424397324</v>
      </c>
      <c r="BN146">
        <f t="shared" si="154"/>
        <v>0</v>
      </c>
      <c r="BO146">
        <f t="shared" si="155"/>
        <v>0</v>
      </c>
    </row>
    <row r="147" spans="13:67" x14ac:dyDescent="0.25">
      <c r="M147" s="66">
        <v>29</v>
      </c>
      <c r="N147" s="36">
        <f t="shared" si="156"/>
        <v>194.98445997580458</v>
      </c>
      <c r="O147" s="91" t="str">
        <f t="shared" ref="O147:O210" si="157">COMPLEX(adc,0)</f>
        <v>13,7404580152672</v>
      </c>
      <c r="P147" s="67" t="str">
        <f t="shared" ref="P147:P210" si="158">IMSUM(COMPLEX(1,0),IMDIV(COMPLEX(0,2*PI()*N147),COMPLEX(wp_lf,0)))</f>
        <v>1+1,32313337357219i</v>
      </c>
      <c r="Q147" s="67">
        <f t="shared" si="116"/>
        <v>1.6585179903336968</v>
      </c>
      <c r="R147" s="67">
        <f t="shared" si="117"/>
        <v>0.92360518281296233</v>
      </c>
      <c r="S147" s="67" t="str">
        <f t="shared" ref="S147:S210" si="159">IMSUM(COMPLEX(1,0),IMDIV(COMPLEX(0,2*PI()*N147),COMPLEX(wz_esr,0)))</f>
        <v>1+0,0367537048214496i</v>
      </c>
      <c r="T147" s="67">
        <f t="shared" si="118"/>
        <v>1.0006751894686419</v>
      </c>
      <c r="U147" s="67">
        <f t="shared" si="119"/>
        <v>3.6737168827097745E-2</v>
      </c>
      <c r="V147" t="str">
        <f t="shared" ref="V147:V210" si="160">IMSUB(COMPLEX(1,0),IMDIV(COMPLEX(0,2*PI()*N147),COMPLEX(wz_rhp,0)))</f>
        <v>1-0,007657021837802i</v>
      </c>
      <c r="W147" s="67">
        <f t="shared" si="120"/>
        <v>1.0000293145620405</v>
      </c>
      <c r="X147" s="67">
        <f t="shared" si="121"/>
        <v>-7.6568721993781324E-3</v>
      </c>
      <c r="Y147" t="str">
        <f t="shared" ref="Y147:Y210" si="161">IMSUM(COMPLEX(1,0),IMDIV(COMPLEX(0,2*PI()*N147),COMPLEX(Q*(wsl/2),0)),IMDIV(IMPOWER(COMPLEX(0,2*PI()*N147),2),IMPOWER(COMPLEX(wsl/2,0),2)))</f>
        <v>0,999997566787864+0,0132861993171347i</v>
      </c>
      <c r="Z147" s="67">
        <f t="shared" si="122"/>
        <v>1.0000858246540358</v>
      </c>
      <c r="AA147" s="67">
        <f t="shared" si="123"/>
        <v>1.3285449948776555E-2</v>
      </c>
      <c r="AB147" s="92" t="str">
        <f t="shared" si="124"/>
        <v>5,10221361447203-6,53375545037799i</v>
      </c>
      <c r="AC147" s="37">
        <f t="shared" si="125"/>
        <v>18.370992283515537</v>
      </c>
      <c r="AD147" s="60">
        <f t="shared" si="126"/>
        <v>-52.013700858831903</v>
      </c>
      <c r="AE147" t="str">
        <f t="shared" si="127"/>
        <v>21,0353732052265</v>
      </c>
      <c r="AF147" t="str">
        <f t="shared" ref="AF147:AF210" si="162">IMSUM(COMPLEX(1,0),IMDIV(COMPLEX(0,2*PI()*N147),COMPLEX(wp_lf_DCM,0)))</f>
        <v>1+0,661566686786094i</v>
      </c>
      <c r="AG147">
        <f t="shared" si="128"/>
        <v>1.1990289742392091</v>
      </c>
      <c r="AH147">
        <f t="shared" si="129"/>
        <v>0.58446353259087946</v>
      </c>
      <c r="AI147" t="str">
        <f t="shared" ref="AI147:AI210" si="163">IMSUM(COMPLEX(1,0),IMDIV(COMPLEX(0,2*PI()*N147),COMPLEX(wz1_dcm,0)))</f>
        <v>1+0,0367537048214496i</v>
      </c>
      <c r="AJ147">
        <f t="shared" si="130"/>
        <v>1.0006751894686419</v>
      </c>
      <c r="AK147">
        <f t="shared" si="131"/>
        <v>3.6737168827097745E-2</v>
      </c>
      <c r="AL147" t="str">
        <f t="shared" ref="AL147:AL210" si="164">IMSUB(COMPLEX(1,0),IMDIV(COMPLEX(0,2*PI()*N147),COMPLEX(wz2_dcm,0)))</f>
        <v>1-0,0025007728602617i</v>
      </c>
      <c r="AM147">
        <f t="shared" si="132"/>
        <v>1.0000031269275604</v>
      </c>
      <c r="AN147">
        <f t="shared" si="133"/>
        <v>-2.5007676471160579E-3</v>
      </c>
      <c r="AO147" s="58" t="str">
        <f t="shared" si="134"/>
        <v>14,9644727750657-9,17947346612411i</v>
      </c>
      <c r="AP147">
        <f t="shared" si="135"/>
        <v>24.888300677126889</v>
      </c>
      <c r="AQ147" s="60">
        <f t="shared" si="136"/>
        <v>-31.525692403434594</v>
      </c>
      <c r="AR147" t="str">
        <f t="shared" ref="AR147:AR210" si="165">COMPLEX(adc_ea,0)</f>
        <v>-1,05811623246493</v>
      </c>
      <c r="AS147" t="str">
        <f t="shared" ref="AS147:AS210" si="166">IMSUM(COMPLEX(1,0), IMDIV(COMPLEX(0,2*PI()*N147), COMPLEX(wp0_ea,0)))</f>
        <v>1+0,0362244514720207i</v>
      </c>
      <c r="AT147">
        <f t="shared" si="137"/>
        <v>1.0006558903461513</v>
      </c>
      <c r="AU147">
        <f t="shared" si="138"/>
        <v>3.6208619228796132E-2</v>
      </c>
      <c r="AV147" t="str">
        <f t="shared" ref="AV147:AV210" si="167">IMSUM(COMPLEX(1,0),IMDIV(COMPLEX(0,2*PI()*N147),COMPLEX(wp1_ea,0)))</f>
        <v>1+0,0362244514720207i</v>
      </c>
      <c r="AW147">
        <f t="shared" si="139"/>
        <v>1.0006558903461513</v>
      </c>
      <c r="AX147">
        <f t="shared" si="140"/>
        <v>3.6208619228796132E-2</v>
      </c>
      <c r="AY147" t="str">
        <f t="shared" ref="AY147:AY210" si="168">IMSUM(COMPLEX(1,0),IMDIV(COMPLEX(wz_ea,0),COMPLEX(0,2*PI()*N147)))</f>
        <v>1-0,702689603849659i</v>
      </c>
      <c r="AZ147">
        <f t="shared" si="141"/>
        <v>1.2221999342817813</v>
      </c>
      <c r="BA147">
        <f t="shared" si="142"/>
        <v>-0.61252878769083419</v>
      </c>
      <c r="BB147" s="58" t="str">
        <f t="shared" si="143"/>
        <v>-1,02983100926995+0,780832339637356i</v>
      </c>
      <c r="BC147">
        <f t="shared" si="144"/>
        <v>2.2278175351634393</v>
      </c>
      <c r="BD147" s="60">
        <f t="shared" si="145"/>
        <v>142.83008457124404</v>
      </c>
      <c r="BE147" s="58" t="str">
        <f t="shared" si="146"/>
        <v>-0,152650241165638+10,7126373637036i</v>
      </c>
      <c r="BF147" s="37">
        <f t="shared" si="147"/>
        <v>20.598809818679001</v>
      </c>
      <c r="BG147" s="60">
        <f t="shared" si="148"/>
        <v>90.816383712412161</v>
      </c>
      <c r="BH147" s="58" t="str">
        <f t="shared" si="149"/>
        <v>-8,24324835794588+21,1380507125794i</v>
      </c>
      <c r="BI147" s="37">
        <f t="shared" si="150"/>
        <v>27.116118212290338</v>
      </c>
      <c r="BJ147" s="60">
        <f t="shared" si="151"/>
        <v>111.30439216780945</v>
      </c>
      <c r="BK147">
        <f t="shared" si="152"/>
        <v>20.598809818679001</v>
      </c>
      <c r="BL147" s="60">
        <f t="shared" si="153"/>
        <v>90.816383712412161</v>
      </c>
      <c r="BN147">
        <f t="shared" si="154"/>
        <v>0</v>
      </c>
      <c r="BO147">
        <f t="shared" si="155"/>
        <v>0</v>
      </c>
    </row>
    <row r="148" spans="13:67" x14ac:dyDescent="0.25">
      <c r="M148" s="66">
        <v>30</v>
      </c>
      <c r="N148" s="36">
        <f t="shared" si="156"/>
        <v>199.52623149688802</v>
      </c>
      <c r="O148" s="91" t="str">
        <f t="shared" si="157"/>
        <v>13,7404580152672</v>
      </c>
      <c r="P148" s="67" t="str">
        <f t="shared" si="158"/>
        <v>1+1,35395310902921i</v>
      </c>
      <c r="Q148" s="67">
        <f t="shared" ref="Q148:Q211" si="169">IMABS(P148)</f>
        <v>1.6832079554974375</v>
      </c>
      <c r="R148" s="67">
        <f t="shared" ref="R148:R211" si="170">IMARGUMENT(P148)</f>
        <v>0.9346454546602363</v>
      </c>
      <c r="S148" s="67" t="str">
        <f t="shared" si="159"/>
        <v>1+0,0376098085841448i</v>
      </c>
      <c r="T148" s="67">
        <f t="shared" ref="T148:T211" si="171">IMABS(S148)</f>
        <v>1.0007069989271267</v>
      </c>
      <c r="U148" s="67">
        <f t="shared" ref="U148:U211" si="172">IMARGUMENT(S148)</f>
        <v>3.7592090622989884E-2</v>
      </c>
      <c r="V148" t="str">
        <f t="shared" si="160"/>
        <v>1-0,0078353767883635i</v>
      </c>
      <c r="W148" s="67">
        <f t="shared" ref="W148:W211" si="173">IMABS(V148)</f>
        <v>1.0000306960935827</v>
      </c>
      <c r="X148" s="67">
        <f t="shared" ref="X148:X211" si="174">IMARGUMENT(V148)</f>
        <v>-7.835216448169334E-3</v>
      </c>
      <c r="Y148" t="str">
        <f t="shared" si="161"/>
        <v>0,999997452114109+0,0135956746552693i</v>
      </c>
      <c r="Z148" s="67">
        <f t="shared" ref="Z148:Z211" si="175">IMABS(Y148)</f>
        <v>1.0000898692637785</v>
      </c>
      <c r="AA148" s="67">
        <f t="shared" ref="AA148:AA211" si="176">IMARGUMENT(Y148)</f>
        <v>1.3594871696502987E-2</v>
      </c>
      <c r="AB148" s="92" t="str">
        <f t="shared" ref="AB148:AB211" si="177">(IMDIV(IMPRODUCT(O148,S148,V148),IMPRODUCT(P148,Y148)))</f>
        <v>4,95851906310526-6,4913948025808i</v>
      </c>
      <c r="AC148" s="37">
        <f t="shared" ref="AC148:AC211" si="178">20*LOG(IMABS(AB148))</f>
        <v>18.242893490701594</v>
      </c>
      <c r="AD148" s="60">
        <f t="shared" ref="AD148:AD211" si="179">(180/PI())*IMARGUMENT(AB148)</f>
        <v>-52.625225362629998</v>
      </c>
      <c r="AE148" t="str">
        <f t="shared" ref="AE148:AE211" si="180">COMPLEX($B$67,0)</f>
        <v>21,0353732052265</v>
      </c>
      <c r="AF148" t="str">
        <f t="shared" si="162"/>
        <v>1+0,676976554514607i</v>
      </c>
      <c r="AG148">
        <f t="shared" ref="AG148:AG211" si="181">IMABS(AF148)</f>
        <v>1.2075997910576453</v>
      </c>
      <c r="AH148">
        <f t="shared" ref="AH148:AH211" si="182">IMARGUMENT(AF148)</f>
        <v>0.59510629587162711</v>
      </c>
      <c r="AI148" t="str">
        <f t="shared" si="163"/>
        <v>1+0,0376098085841448i</v>
      </c>
      <c r="AJ148">
        <f t="shared" ref="AJ148:AJ211" si="183">IMABS(AI148)</f>
        <v>1.0007069989271267</v>
      </c>
      <c r="AK148">
        <f t="shared" ref="AK148:AK211" si="184">IMARGUMENT(AI148)</f>
        <v>3.7592090622989884E-2</v>
      </c>
      <c r="AL148" t="str">
        <f t="shared" si="164"/>
        <v>1-0,0025590233431917i</v>
      </c>
      <c r="AM148">
        <f t="shared" ref="AM148:AM211" si="185">IMABS(AL148)</f>
        <v>1.000003274294875</v>
      </c>
      <c r="AN148">
        <f t="shared" ref="AN148:AN211" si="186">IMARGUMENT(AL148)</f>
        <v>-2.5590177572064913E-3</v>
      </c>
      <c r="AO148" s="58" t="str">
        <f t="shared" ref="AO148:AO211" si="187">(IMDIV(IMPRODUCT(AE148,AI148,AL148),IMPRODUCT(AF148)))</f>
        <v>14,7682763400913-9,2604704841549i</v>
      </c>
      <c r="AP148">
        <f t="shared" ref="AP148:AP211" si="188">20*LOG(IMABS(AO148))</f>
        <v>24.826711032500185</v>
      </c>
      <c r="AQ148" s="60">
        <f t="shared" ref="AQ148:AQ211" si="189">(180/PI())*IMARGUMENT(AO148)</f>
        <v>-32.089831896524196</v>
      </c>
      <c r="AR148" t="str">
        <f t="shared" si="165"/>
        <v>-1,05811623246493</v>
      </c>
      <c r="AS148" t="str">
        <f t="shared" si="166"/>
        <v>1+0,0370682273405331i</v>
      </c>
      <c r="AT148">
        <f t="shared" ref="AT148:AT211" si="190">IMABS(AS148)</f>
        <v>1.0006867908982158</v>
      </c>
      <c r="AU148">
        <f t="shared" ref="AU148:AU211" si="191">IMARGUMENT(AS148)</f>
        <v>3.7051263415040628E-2</v>
      </c>
      <c r="AV148" t="str">
        <f t="shared" si="167"/>
        <v>1+0,0370682273405331i</v>
      </c>
      <c r="AW148">
        <f t="shared" ref="AW148:AW211" si="192">IMABS(AV148)</f>
        <v>1.0006867908982158</v>
      </c>
      <c r="AX148">
        <f t="shared" ref="AX148:AX211" si="193">IMARGUMENT(AV148)</f>
        <v>3.7051263415040628E-2</v>
      </c>
      <c r="AY148" t="str">
        <f t="shared" si="168"/>
        <v>1-0,686694435660579i</v>
      </c>
      <c r="AZ148">
        <f t="shared" ref="AZ148:AZ211" si="194">IMABS(AY148)</f>
        <v>1.2130742961447996</v>
      </c>
      <c r="BA148">
        <f t="shared" ref="BA148:BA211" si="195">IMARGUMENT(AY148)</f>
        <v>-0.60174012588344072</v>
      </c>
      <c r="BB148" s="58" t="str">
        <f t="shared" ref="BB148:BB211" si="196">IMDIV(IMPRODUCT(AR148,AY148), AS148)</f>
        <v>-1,02976740923909+0,764774181549349i</v>
      </c>
      <c r="BC148">
        <f t="shared" ref="BC148:BC211" si="197">20*LOG(IMABS(BB148))</f>
        <v>2.1624522068388128</v>
      </c>
      <c r="BD148" s="60">
        <f t="shared" ref="BD148:BD211" si="198">(180/PI())*IMARGUMENT(BB148)</f>
        <v>143.39994940389872</v>
      </c>
      <c r="BE148" s="58" t="str">
        <f t="shared" ref="BE148:BE211" si="199">IMPRODUCT(AB148,BB148)</f>
        <v>-0,141670182019114+10,4767741663849i</v>
      </c>
      <c r="BF148" s="37">
        <f t="shared" ref="BF148:BF211" si="200">20*LOG(IMABS(BE148))</f>
        <v>20.405345697540408</v>
      </c>
      <c r="BG148" s="60">
        <f t="shared" ref="BG148:BG211" si="201">(180/PI())*IMARGUMENT(BE148)</f>
        <v>90.774724041268726</v>
      </c>
      <c r="BH148" s="58" t="str">
        <f t="shared" ref="BH148:BH211" si="202">IMPRODUCT(AO148,BB148)</f>
        <v>-8,1257209303813+20,8305271496912i</v>
      </c>
      <c r="BI148" s="37">
        <f t="shared" ref="BI148:BI211" si="203">20*LOG(IMABS(BH148))</f>
        <v>26.989163239339003</v>
      </c>
      <c r="BJ148" s="60">
        <f t="shared" ref="BJ148:BJ211" si="204">(180/PI())*IMARGUMENT(BH148)</f>
        <v>111.31011750737453</v>
      </c>
      <c r="BK148">
        <f t="shared" ref="BK148:BK211" si="205">IF($B$19=0,BF148,BI148)</f>
        <v>20.405345697540408</v>
      </c>
      <c r="BL148" s="60">
        <f t="shared" ref="BL148:BL211" si="206">IF($B$19=0,BG148,BJ148)</f>
        <v>90.774724041268726</v>
      </c>
      <c r="BN148">
        <f t="shared" si="154"/>
        <v>0</v>
      </c>
      <c r="BO148">
        <f t="shared" si="155"/>
        <v>0</v>
      </c>
    </row>
    <row r="149" spans="13:67" x14ac:dyDescent="0.25">
      <c r="M149" s="66">
        <v>31</v>
      </c>
      <c r="N149" s="36">
        <f t="shared" si="156"/>
        <v>204.17379446695315</v>
      </c>
      <c r="O149" s="91" t="str">
        <f t="shared" si="157"/>
        <v>13,7404580152672</v>
      </c>
      <c r="P149" s="67" t="str">
        <f t="shared" si="158"/>
        <v>1+1,38549072834633i</v>
      </c>
      <c r="Q149" s="67">
        <f t="shared" si="169"/>
        <v>1.7086791853164374</v>
      </c>
      <c r="R149" s="67">
        <f t="shared" si="170"/>
        <v>0.94561122904804662</v>
      </c>
      <c r="S149" s="67" t="str">
        <f t="shared" si="159"/>
        <v>1+0,0384858535651758i</v>
      </c>
      <c r="T149" s="67">
        <f t="shared" si="171"/>
        <v>1.0007403064355109</v>
      </c>
      <c r="U149" s="67">
        <f t="shared" si="172"/>
        <v>3.8466869186190203E-2</v>
      </c>
      <c r="V149" t="str">
        <f t="shared" si="160"/>
        <v>1-0,00801788615941163i</v>
      </c>
      <c r="W149" s="67">
        <f t="shared" si="173"/>
        <v>1.0000321427326551</v>
      </c>
      <c r="X149" s="67">
        <f t="shared" si="174"/>
        <v>-8.0177143520964219E-3</v>
      </c>
      <c r="Y149" t="str">
        <f t="shared" si="161"/>
        <v>0,999997332035946+0,0139123586000661i</v>
      </c>
      <c r="Z149" s="67">
        <f t="shared" si="175"/>
        <v>1.0000941044725875</v>
      </c>
      <c r="AA149" s="67">
        <f t="shared" si="176"/>
        <v>1.391149821861822E-2</v>
      </c>
      <c r="AB149" s="92" t="str">
        <f t="shared" si="177"/>
        <v>4,81675693816536-6,44619333237462i</v>
      </c>
      <c r="AC149" s="37">
        <f t="shared" si="178"/>
        <v>18.112703291056569</v>
      </c>
      <c r="AD149" s="60">
        <f t="shared" si="179"/>
        <v>-53.231994557528388</v>
      </c>
      <c r="AE149" t="str">
        <f t="shared" si="180"/>
        <v>21,0353732052265</v>
      </c>
      <c r="AF149" t="str">
        <f t="shared" si="162"/>
        <v>1+0,692745364173165i</v>
      </c>
      <c r="AG149">
        <f t="shared" si="181"/>
        <v>1.2165098189424577</v>
      </c>
      <c r="AH149">
        <f t="shared" si="182"/>
        <v>0.60584046918741452</v>
      </c>
      <c r="AI149" t="str">
        <f t="shared" si="163"/>
        <v>1+0,0384858535651758i</v>
      </c>
      <c r="AJ149">
        <f t="shared" si="183"/>
        <v>1.0007403064355109</v>
      </c>
      <c r="AK149">
        <f t="shared" si="184"/>
        <v>3.8466869186190203E-2</v>
      </c>
      <c r="AL149" t="str">
        <f t="shared" si="164"/>
        <v>1-0,00261863065417093i</v>
      </c>
      <c r="AM149">
        <f t="shared" si="185"/>
        <v>1.0000034286073738</v>
      </c>
      <c r="AN149">
        <f t="shared" si="186"/>
        <v>-2.6186246686810484E-3</v>
      </c>
      <c r="AO149" s="58" t="str">
        <f t="shared" si="187"/>
        <v>14,5686953236618-9,33791572774996i</v>
      </c>
      <c r="AP149">
        <f t="shared" si="188"/>
        <v>24.763149680192022</v>
      </c>
      <c r="AQ149" s="60">
        <f t="shared" si="189"/>
        <v>-32.658148828858224</v>
      </c>
      <c r="AR149" t="str">
        <f t="shared" si="165"/>
        <v>-1,05811623246493</v>
      </c>
      <c r="AS149" t="str">
        <f t="shared" si="166"/>
        <v>1+0,0379316572738373i</v>
      </c>
      <c r="AT149">
        <f t="shared" si="190"/>
        <v>1.0007191467257635</v>
      </c>
      <c r="AU149">
        <f t="shared" si="191"/>
        <v>3.7913480805604957E-2</v>
      </c>
      <c r="AV149" t="str">
        <f t="shared" si="167"/>
        <v>1+0,0379316572738373i</v>
      </c>
      <c r="AW149">
        <f t="shared" si="192"/>
        <v>1.0007191467257635</v>
      </c>
      <c r="AX149">
        <f t="shared" si="193"/>
        <v>3.7913480805604957E-2</v>
      </c>
      <c r="AY149" t="str">
        <f t="shared" si="168"/>
        <v>1-0,671063361950765i</v>
      </c>
      <c r="AZ149">
        <f t="shared" si="194"/>
        <v>1.2042948292476654</v>
      </c>
      <c r="BA149">
        <f t="shared" si="195"/>
        <v>-0.59104029593199958</v>
      </c>
      <c r="BB149" s="58" t="str">
        <f t="shared" si="196"/>
        <v>-1,02970082025022+0,749121294900913i</v>
      </c>
      <c r="BC149">
        <f t="shared" si="197"/>
        <v>2.0990797875526566</v>
      </c>
      <c r="BD149" s="60">
        <f t="shared" si="198"/>
        <v>143.96360308412196</v>
      </c>
      <c r="BE149" s="58" t="str">
        <f t="shared" si="199"/>
        <v>-0,130837873844703+10,245985756579i</v>
      </c>
      <c r="BF149" s="37">
        <f t="shared" si="200"/>
        <v>20.211783078609194</v>
      </c>
      <c r="BG149" s="60">
        <f t="shared" si="201"/>
        <v>90.731608526593561</v>
      </c>
      <c r="BH149" s="58" t="str">
        <f t="shared" si="202"/>
        <v>-8,00616600310245+20,52897939017i</v>
      </c>
      <c r="BI149" s="37">
        <f t="shared" si="203"/>
        <v>26.86222946774469</v>
      </c>
      <c r="BJ149" s="60">
        <f t="shared" si="204"/>
        <v>111.30545425526368</v>
      </c>
      <c r="BK149">
        <f t="shared" si="205"/>
        <v>20.211783078609194</v>
      </c>
      <c r="BL149" s="60">
        <f t="shared" si="206"/>
        <v>90.731608526593561</v>
      </c>
      <c r="BN149">
        <f t="shared" ref="BN149:BN212" si="207">SUM((BK150&lt;0)*(BK149&gt;0))*N149</f>
        <v>0</v>
      </c>
      <c r="BO149">
        <f t="shared" ref="BO149:BO212" si="208">IF(BN149&gt;0,BL149,0)</f>
        <v>0</v>
      </c>
    </row>
    <row r="150" spans="13:67" x14ac:dyDescent="0.25">
      <c r="M150" s="66">
        <v>32</v>
      </c>
      <c r="N150" s="36">
        <f t="shared" si="156"/>
        <v>208.92961308540396</v>
      </c>
      <c r="O150" s="91" t="str">
        <f t="shared" si="157"/>
        <v>13,7404580152672</v>
      </c>
      <c r="P150" s="67" t="str">
        <f t="shared" si="158"/>
        <v>1+1,41776295318676i</v>
      </c>
      <c r="Q150" s="67">
        <f t="shared" si="169"/>
        <v>1.734950083267194</v>
      </c>
      <c r="R150" s="67">
        <f t="shared" si="170"/>
        <v>0.95649777154095827</v>
      </c>
      <c r="S150" s="67" t="str">
        <f t="shared" si="159"/>
        <v>1+0,0393823042551879i</v>
      </c>
      <c r="T150" s="67">
        <f t="shared" si="171"/>
        <v>1.0007751824902775</v>
      </c>
      <c r="U150" s="67">
        <f t="shared" si="172"/>
        <v>3.936196297750922E-2</v>
      </c>
      <c r="V150" t="str">
        <f t="shared" si="160"/>
        <v>1-0,00820464671983081i</v>
      </c>
      <c r="W150" s="67">
        <f t="shared" si="173"/>
        <v>1.0000336575474833</v>
      </c>
      <c r="X150" s="67">
        <f t="shared" si="174"/>
        <v>-8.2044626253104207E-3</v>
      </c>
      <c r="Y150" t="str">
        <f t="shared" si="161"/>
        <v>0,999997206298674+0,0142364190615446i</v>
      </c>
      <c r="Z150" s="67">
        <f t="shared" si="175"/>
        <v>1.0000985392614312</v>
      </c>
      <c r="AA150" s="67">
        <f t="shared" si="176"/>
        <v>1.4235497151118203E-2</v>
      </c>
      <c r="AB150" s="92" t="str">
        <f t="shared" si="177"/>
        <v>4,67703569476055-6,3982578228184i</v>
      </c>
      <c r="AC150" s="37">
        <f t="shared" si="178"/>
        <v>17.980451530010274</v>
      </c>
      <c r="AD150" s="60">
        <f t="shared" si="179"/>
        <v>-53.833726058636529</v>
      </c>
      <c r="AE150" t="str">
        <f t="shared" si="180"/>
        <v>21,0353732052265</v>
      </c>
      <c r="AF150" t="str">
        <f t="shared" si="162"/>
        <v>1+0,708881476593383i</v>
      </c>
      <c r="AG150">
        <f t="shared" si="181"/>
        <v>1.2257703487428691</v>
      </c>
      <c r="AH150">
        <f t="shared" si="182"/>
        <v>0.61666184941220648</v>
      </c>
      <c r="AI150" t="str">
        <f t="shared" si="163"/>
        <v>1+0,0393823042551879i</v>
      </c>
      <c r="AJ150">
        <f t="shared" si="183"/>
        <v>1.0007751824902775</v>
      </c>
      <c r="AK150">
        <f t="shared" si="184"/>
        <v>3.936196297750922E-2</v>
      </c>
      <c r="AL150" t="str">
        <f t="shared" si="164"/>
        <v>1-0,00267962639778469i</v>
      </c>
      <c r="AM150">
        <f t="shared" si="185"/>
        <v>1.0000035901923712</v>
      </c>
      <c r="AN150">
        <f t="shared" si="186"/>
        <v>-2.6796199842179743E-3</v>
      </c>
      <c r="AO150" s="58" t="str">
        <f t="shared" si="187"/>
        <v>14,3658583765954-9,41163637217071i</v>
      </c>
      <c r="AP150">
        <f t="shared" si="188"/>
        <v>24.697583924738712</v>
      </c>
      <c r="AQ150" s="60">
        <f t="shared" si="189"/>
        <v>-33.230377921884532</v>
      </c>
      <c r="AR150" t="str">
        <f t="shared" si="165"/>
        <v>-1,05811623246493</v>
      </c>
      <c r="AS150" t="str">
        <f t="shared" si="166"/>
        <v>1+0,0388151990739132i</v>
      </c>
      <c r="AT150">
        <f t="shared" si="190"/>
        <v>1.000753026315258</v>
      </c>
      <c r="AU150">
        <f t="shared" si="191"/>
        <v>3.8795723428726718E-2</v>
      </c>
      <c r="AV150" t="str">
        <f t="shared" si="167"/>
        <v>1+0,0388151990739132i</v>
      </c>
      <c r="AW150">
        <f t="shared" si="192"/>
        <v>1.000753026315258</v>
      </c>
      <c r="AX150">
        <f t="shared" si="193"/>
        <v>3.8795723428726718E-2</v>
      </c>
      <c r="AY150" t="str">
        <f t="shared" si="168"/>
        <v>1-0,655788094918025i</v>
      </c>
      <c r="AZ150">
        <f t="shared" si="194"/>
        <v>1.1958503357177321</v>
      </c>
      <c r="BA150">
        <f t="shared" si="195"/>
        <v>-0.58043342454054403</v>
      </c>
      <c r="BB150" s="58" t="str">
        <f t="shared" si="196"/>
        <v>-1,02963110224855+0,733865364496485i</v>
      </c>
      <c r="BC150">
        <f t="shared" si="197"/>
        <v>2.0376658919028774</v>
      </c>
      <c r="BD150" s="60">
        <f t="shared" si="198"/>
        <v>144.52078326987885</v>
      </c>
      <c r="BE150" s="58" t="str">
        <f t="shared" si="199"/>
        <v>-0,120161608367006+10,0201597594774i</v>
      </c>
      <c r="BF150" s="37">
        <f t="shared" si="200"/>
        <v>20.018117421913114</v>
      </c>
      <c r="BG150" s="60">
        <f t="shared" si="201"/>
        <v>90.687057211242333</v>
      </c>
      <c r="BH150" s="58" t="str">
        <f t="shared" si="202"/>
        <v>-7,88466063826905+20,2331194256857i</v>
      </c>
      <c r="BI150" s="37">
        <f t="shared" si="203"/>
        <v>26.735249816641581</v>
      </c>
      <c r="BJ150" s="60">
        <f t="shared" si="204"/>
        <v>111.29040534799434</v>
      </c>
      <c r="BK150">
        <f t="shared" si="205"/>
        <v>20.018117421913114</v>
      </c>
      <c r="BL150" s="60">
        <f t="shared" si="206"/>
        <v>90.687057211242333</v>
      </c>
      <c r="BN150">
        <f t="shared" si="207"/>
        <v>0</v>
      </c>
      <c r="BO150">
        <f t="shared" si="208"/>
        <v>0</v>
      </c>
    </row>
    <row r="151" spans="13:67" x14ac:dyDescent="0.25">
      <c r="M151" s="66">
        <v>33</v>
      </c>
      <c r="N151" s="36">
        <f t="shared" si="156"/>
        <v>213.79620895022339</v>
      </c>
      <c r="O151" s="91" t="str">
        <f t="shared" si="157"/>
        <v>13,7404580152672</v>
      </c>
      <c r="P151" s="67" t="str">
        <f t="shared" si="158"/>
        <v>1+1,45078689471128i</v>
      </c>
      <c r="Q151" s="67">
        <f t="shared" si="169"/>
        <v>1.7620393338021709</v>
      </c>
      <c r="R151" s="67">
        <f t="shared" si="170"/>
        <v>0.96730053260998372</v>
      </c>
      <c r="S151" s="67" t="str">
        <f t="shared" si="159"/>
        <v>1+0,0402996359642022i</v>
      </c>
      <c r="T151" s="67">
        <f t="shared" si="171"/>
        <v>1.0008117009002477</v>
      </c>
      <c r="U151" s="67">
        <f t="shared" si="172"/>
        <v>4.0277840847107116E-2</v>
      </c>
      <c r="V151" t="str">
        <f t="shared" si="160"/>
        <v>1-0,00839575749254213i</v>
      </c>
      <c r="W151" s="67">
        <f t="shared" si="173"/>
        <v>1.0000352437508757</v>
      </c>
      <c r="X151" s="67">
        <f t="shared" si="174"/>
        <v>-8.395560232085009E-3</v>
      </c>
      <c r="Y151" t="str">
        <f t="shared" si="161"/>
        <v>0,999997074635587+0,0145680278608507i</v>
      </c>
      <c r="Z151" s="67">
        <f t="shared" si="175"/>
        <v>1.0001031830343736</v>
      </c>
      <c r="AA151" s="67">
        <f t="shared" si="176"/>
        <v>1.4567040021534404E-2</v>
      </c>
      <c r="AB151" s="92" t="str">
        <f t="shared" si="177"/>
        <v>4,53945642538508-6,34769950823939i</v>
      </c>
      <c r="AC151" s="37">
        <f t="shared" si="178"/>
        <v>17.846169623469649</v>
      </c>
      <c r="AD151" s="60">
        <f t="shared" si="179"/>
        <v>-54.430147832048277</v>
      </c>
      <c r="AE151" t="str">
        <f t="shared" si="180"/>
        <v>21,0353732052265</v>
      </c>
      <c r="AF151" t="str">
        <f t="shared" si="162"/>
        <v>1+0,72539344735564i</v>
      </c>
      <c r="AG151">
        <f t="shared" si="181"/>
        <v>1.2353929146091538</v>
      </c>
      <c r="AH151">
        <f t="shared" si="182"/>
        <v>0.62756603663265886</v>
      </c>
      <c r="AI151" t="str">
        <f t="shared" si="163"/>
        <v>1+0,0402996359642022i</v>
      </c>
      <c r="AJ151">
        <f t="shared" si="183"/>
        <v>1.0008117009002477</v>
      </c>
      <c r="AK151">
        <f t="shared" si="184"/>
        <v>4.0277840847107116E-2</v>
      </c>
      <c r="AL151" t="str">
        <f t="shared" si="164"/>
        <v>1-0,00274204291478359i</v>
      </c>
      <c r="AM151">
        <f t="shared" si="185"/>
        <v>1.0000037593926068</v>
      </c>
      <c r="AN151">
        <f t="shared" si="186"/>
        <v>-2.7420360425244343E-3</v>
      </c>
      <c r="AO151" s="58" t="str">
        <f t="shared" si="187"/>
        <v>14,1599053918891-9,48146459996762i</v>
      </c>
      <c r="AP151">
        <f t="shared" si="188"/>
        <v>24.629982446188357</v>
      </c>
      <c r="AQ151" s="60">
        <f t="shared" si="189"/>
        <v>-33.806242068874333</v>
      </c>
      <c r="AR151" t="str">
        <f t="shared" si="165"/>
        <v>-1,05811623246493</v>
      </c>
      <c r="AS151" t="str">
        <f t="shared" si="166"/>
        <v>1+0,0397193212063177i</v>
      </c>
      <c r="AT151">
        <f t="shared" si="190"/>
        <v>1.0007885013713391</v>
      </c>
      <c r="AU151">
        <f t="shared" si="191"/>
        <v>3.969845356442455E-2</v>
      </c>
      <c r="AV151" t="str">
        <f t="shared" si="167"/>
        <v>1+0,0397193212063177i</v>
      </c>
      <c r="AW151">
        <f t="shared" si="192"/>
        <v>1.0007885013713391</v>
      </c>
      <c r="AX151">
        <f t="shared" si="193"/>
        <v>3.969845356442455E-2</v>
      </c>
      <c r="AY151" t="str">
        <f t="shared" si="168"/>
        <v>1-0,640860535413598i</v>
      </c>
      <c r="AZ151">
        <f t="shared" si="194"/>
        <v>1.187729862321649</v>
      </c>
      <c r="BA151">
        <f t="shared" si="195"/>
        <v>-0.56992343458793016</v>
      </c>
      <c r="BB151" s="58" t="str">
        <f t="shared" si="196"/>
        <v>-1,02955810865666+0,718998284485597i</v>
      </c>
      <c r="BC151">
        <f t="shared" si="197"/>
        <v>1.9781749169300935</v>
      </c>
      <c r="BD151" s="60">
        <f t="shared" si="198"/>
        <v>145.07123871007386</v>
      </c>
      <c r="BE151" s="58" t="str">
        <f t="shared" si="199"/>
        <v>-0,109649114794598+9,79918688237275i</v>
      </c>
      <c r="BF151" s="37">
        <f t="shared" si="200"/>
        <v>19.824344540399739</v>
      </c>
      <c r="BG151" s="60">
        <f t="shared" si="201"/>
        <v>90.641090878025594</v>
      </c>
      <c r="BH151" s="58" t="str">
        <f t="shared" si="202"/>
        <v>-7,76128863224295+19,9426664460844i</v>
      </c>
      <c r="BI151" s="37">
        <f t="shared" si="203"/>
        <v>26.608157363118465</v>
      </c>
      <c r="BJ151" s="60">
        <f t="shared" si="204"/>
        <v>111.26499664119949</v>
      </c>
      <c r="BK151">
        <f t="shared" si="205"/>
        <v>19.824344540399739</v>
      </c>
      <c r="BL151" s="60">
        <f t="shared" si="206"/>
        <v>90.641090878025594</v>
      </c>
      <c r="BN151">
        <f t="shared" si="207"/>
        <v>0</v>
      </c>
      <c r="BO151">
        <f t="shared" si="208"/>
        <v>0</v>
      </c>
    </row>
    <row r="152" spans="13:67" x14ac:dyDescent="0.25">
      <c r="M152" s="66">
        <v>34</v>
      </c>
      <c r="N152" s="36">
        <f t="shared" si="156"/>
        <v>218.77616239495524</v>
      </c>
      <c r="O152" s="91" t="str">
        <f t="shared" si="157"/>
        <v>13,7404580152672</v>
      </c>
      <c r="P152" s="67" t="str">
        <f t="shared" si="158"/>
        <v>1+1,48458006265081i</v>
      </c>
      <c r="Q152" s="67">
        <f t="shared" si="169"/>
        <v>1.7899659109659836</v>
      </c>
      <c r="R152" s="67">
        <f t="shared" si="170"/>
        <v>0.97801515468709321</v>
      </c>
      <c r="S152" s="67" t="str">
        <f t="shared" si="159"/>
        <v>1+0,0412383350736336i</v>
      </c>
      <c r="T152" s="67">
        <f t="shared" si="171"/>
        <v>1.0008499389417203</v>
      </c>
      <c r="U152" s="67">
        <f t="shared" si="172"/>
        <v>4.1214982255905398E-2</v>
      </c>
      <c r="V152" t="str">
        <f t="shared" si="160"/>
        <v>1-0,008591319807007i</v>
      </c>
      <c r="W152" s="67">
        <f t="shared" si="173"/>
        <v>1.0000369047070345</v>
      </c>
      <c r="X152" s="67">
        <f t="shared" si="174"/>
        <v>-8.5911084390403129E-3</v>
      </c>
      <c r="Y152" t="str">
        <f t="shared" si="161"/>
        <v>0,999996936767409+0,0149073608213593i</v>
      </c>
      <c r="Z152" s="67">
        <f t="shared" si="175"/>
        <v>1.0001080456384996</v>
      </c>
      <c r="AA152" s="67">
        <f t="shared" si="176"/>
        <v>1.4906302338636135E-2</v>
      </c>
      <c r="AB152" s="92" t="str">
        <f t="shared" si="177"/>
        <v>4,40411267732896-6,29463349036699i</v>
      </c>
      <c r="AC152" s="37">
        <f t="shared" si="178"/>
        <v>17.709890449137657</v>
      </c>
      <c r="AD152" s="60">
        <f t="shared" si="179"/>
        <v>-55.020998594480957</v>
      </c>
      <c r="AE152" t="str">
        <f t="shared" si="180"/>
        <v>21,0353732052265</v>
      </c>
      <c r="AF152" t="str">
        <f t="shared" si="162"/>
        <v>1+0,742290031325405i</v>
      </c>
      <c r="AG152">
        <f t="shared" si="181"/>
        <v>1.2453892927936512</v>
      </c>
      <c r="AH152">
        <f t="shared" si="182"/>
        <v>0.63854844042599546</v>
      </c>
      <c r="AI152" t="str">
        <f t="shared" si="163"/>
        <v>1+0,0412383350736336i</v>
      </c>
      <c r="AJ152">
        <f t="shared" si="183"/>
        <v>1.0008499389417203</v>
      </c>
      <c r="AK152">
        <f t="shared" si="184"/>
        <v>4.1214982255905398E-2</v>
      </c>
      <c r="AL152" t="str">
        <f t="shared" si="164"/>
        <v>1-0,00280591329923114i</v>
      </c>
      <c r="AM152">
        <f t="shared" si="185"/>
        <v>1.0000039365669731</v>
      </c>
      <c r="AN152">
        <f t="shared" si="186"/>
        <v>-2.8059059354743495E-3</v>
      </c>
      <c r="AO152" s="58" t="str">
        <f t="shared" si="187"/>
        <v>13,9509872963213-9,54723846200146i</v>
      </c>
      <c r="AP152">
        <f t="shared" si="188"/>
        <v>24.560315413206077</v>
      </c>
      <c r="AQ152" s="60">
        <f t="shared" si="189"/>
        <v>-34.3854526829139</v>
      </c>
      <c r="AR152" t="str">
        <f t="shared" si="165"/>
        <v>-1,05811623246493</v>
      </c>
      <c r="AS152" t="str">
        <f t="shared" si="166"/>
        <v>1+0,0406445030485733i</v>
      </c>
      <c r="AT152">
        <f t="shared" si="190"/>
        <v>1.0008256469675751</v>
      </c>
      <c r="AU152">
        <f t="shared" si="191"/>
        <v>4.0622143963573769E-2</v>
      </c>
      <c r="AV152" t="str">
        <f t="shared" si="167"/>
        <v>1+0,0406445030485733i</v>
      </c>
      <c r="AW152">
        <f t="shared" si="192"/>
        <v>1.0008256469675751</v>
      </c>
      <c r="AX152">
        <f t="shared" si="193"/>
        <v>4.0622143963573769E-2</v>
      </c>
      <c r="AY152" t="str">
        <f t="shared" si="168"/>
        <v>1-0,626272768647837i</v>
      </c>
      <c r="AZ152">
        <f t="shared" si="194"/>
        <v>1.1799227011757283</v>
      </c>
      <c r="BA152">
        <f t="shared" si="195"/>
        <v>-0.55951404120161619</v>
      </c>
      <c r="BB152" s="58" t="str">
        <f t="shared" si="196"/>
        <v>-1,02948168607452+0,704512153985136i</v>
      </c>
      <c r="BC152">
        <f t="shared" si="197"/>
        <v>1.9205701554532411</v>
      </c>
      <c r="BD152" s="60">
        <f t="shared" si="198"/>
        <v>145.61472945695283</v>
      </c>
      <c r="BE152" s="58" t="str">
        <f t="shared" si="199"/>
        <v>-0,099307545873363+9,58296080758242i</v>
      </c>
      <c r="BF152" s="37">
        <f t="shared" si="200"/>
        <v>19.630460604590894</v>
      </c>
      <c r="BG152" s="60">
        <f t="shared" si="201"/>
        <v>90.593730862471887</v>
      </c>
      <c r="BH152" s="58" t="str">
        <f t="shared" si="202"/>
        <v>-7,63614039074668+19,6573472595674i</v>
      </c>
      <c r="BI152" s="37">
        <f t="shared" si="203"/>
        <v>26.480885568659332</v>
      </c>
      <c r="BJ152" s="60">
        <f t="shared" si="204"/>
        <v>111.22927677403889</v>
      </c>
      <c r="BK152">
        <f t="shared" si="205"/>
        <v>19.630460604590894</v>
      </c>
      <c r="BL152" s="60">
        <f t="shared" si="206"/>
        <v>90.593730862471887</v>
      </c>
      <c r="BN152">
        <f t="shared" si="207"/>
        <v>0</v>
      </c>
      <c r="BO152">
        <f t="shared" si="208"/>
        <v>0</v>
      </c>
    </row>
    <row r="153" spans="13:67" x14ac:dyDescent="0.25">
      <c r="M153" s="66">
        <v>35</v>
      </c>
      <c r="N153" s="36">
        <f t="shared" si="156"/>
        <v>223.87211385683412</v>
      </c>
      <c r="O153" s="91" t="str">
        <f t="shared" si="157"/>
        <v>13,7404580152672</v>
      </c>
      <c r="P153" s="67" t="str">
        <f t="shared" si="158"/>
        <v>1+1,5191603745903i</v>
      </c>
      <c r="Q153" s="67">
        <f t="shared" si="169"/>
        <v>1.8187490876218579</v>
      </c>
      <c r="R153" s="67">
        <f t="shared" si="170"/>
        <v>0.9886374782265962</v>
      </c>
      <c r="S153" s="67" t="str">
        <f t="shared" si="159"/>
        <v>1+0,042198899294175i</v>
      </c>
      <c r="T153" s="67">
        <f t="shared" si="171"/>
        <v>1.0008899775208262</v>
      </c>
      <c r="U153" s="67">
        <f t="shared" si="172"/>
        <v>4.2173877500694006E-2</v>
      </c>
      <c r="V153" t="str">
        <f t="shared" si="160"/>
        <v>1-0,00879143735295312i</v>
      </c>
      <c r="W153" s="67">
        <f t="shared" si="173"/>
        <v>1.0000386439386884</v>
      </c>
      <c r="X153" s="67">
        <f t="shared" si="174"/>
        <v>-8.7912108685689865E-3</v>
      </c>
      <c r="Y153" t="str">
        <f t="shared" si="161"/>
        <v>0,999996792401705+0,0152545978618977i</v>
      </c>
      <c r="Z153" s="67">
        <f t="shared" si="175"/>
        <v>1.0001131373847794</v>
      </c>
      <c r="AA153" s="67">
        <f t="shared" si="176"/>
        <v>1.5253463684153602E-2</v>
      </c>
      <c r="AB153" s="92" t="str">
        <f t="shared" si="177"/>
        <v>4,27109032206083-6,2391781523451i</v>
      </c>
      <c r="AC153" s="37">
        <f t="shared" si="178"/>
        <v>17.571648235581304</v>
      </c>
      <c r="AD153" s="60">
        <f t="shared" si="179"/>
        <v>-55.606028155985882</v>
      </c>
      <c r="AE153" t="str">
        <f t="shared" si="180"/>
        <v>21,0353732052265</v>
      </c>
      <c r="AF153" t="str">
        <f t="shared" si="162"/>
        <v>1+0,759580187295151i</v>
      </c>
      <c r="AG153">
        <f t="shared" si="181"/>
        <v>1.2557715002863128</v>
      </c>
      <c r="AH153">
        <f t="shared" si="182"/>
        <v>0.64960428712996909</v>
      </c>
      <c r="AI153" t="str">
        <f t="shared" si="163"/>
        <v>1+0,042198899294175i</v>
      </c>
      <c r="AJ153">
        <f t="shared" si="183"/>
        <v>1.0008899775208262</v>
      </c>
      <c r="AK153">
        <f t="shared" si="184"/>
        <v>4.2173877500694006E-2</v>
      </c>
      <c r="AL153" t="str">
        <f t="shared" si="164"/>
        <v>1-0,00287127141605061i</v>
      </c>
      <c r="AM153">
        <f t="shared" si="185"/>
        <v>1.0000041220912765</v>
      </c>
      <c r="AN153">
        <f t="shared" si="186"/>
        <v>-2.8712635256448065E-3</v>
      </c>
      <c r="AO153" s="58" t="str">
        <f t="shared" si="187"/>
        <v>13,7392657654167-9,60880273370043i</v>
      </c>
      <c r="AP153">
        <f t="shared" si="188"/>
        <v>24.488554593768121</v>
      </c>
      <c r="AQ153" s="60">
        <f t="shared" si="189"/>
        <v>-34.967710101549457</v>
      </c>
      <c r="AR153" t="str">
        <f t="shared" si="165"/>
        <v>-1,05811623246493</v>
      </c>
      <c r="AS153" t="str">
        <f t="shared" si="166"/>
        <v>1+0,0415912351443389i</v>
      </c>
      <c r="AT153">
        <f t="shared" si="190"/>
        <v>1.0008645417042368</v>
      </c>
      <c r="AU153">
        <f t="shared" si="191"/>
        <v>4.1567278070684818E-2</v>
      </c>
      <c r="AV153" t="str">
        <f t="shared" si="167"/>
        <v>1+0,0415912351443389i</v>
      </c>
      <c r="AW153">
        <f t="shared" si="192"/>
        <v>1.0008645417042368</v>
      </c>
      <c r="AX153">
        <f t="shared" si="193"/>
        <v>4.1567278070684818E-2</v>
      </c>
      <c r="AY153" t="str">
        <f t="shared" si="168"/>
        <v>1-0,612017059993712i</v>
      </c>
      <c r="AZ153">
        <f t="shared" si="194"/>
        <v>1.1724183902188445</v>
      </c>
      <c r="BA153">
        <f t="shared" si="195"/>
        <v>-0.54920874879497361</v>
      </c>
      <c r="BB153" s="58" t="str">
        <f t="shared" si="196"/>
        <v>-1,02940167396623+0,690399272804716i</v>
      </c>
      <c r="BC153">
        <f t="shared" si="197"/>
        <v>1.8648139093376863</v>
      </c>
      <c r="BD153" s="60">
        <f t="shared" si="198"/>
        <v>146.15102702309042</v>
      </c>
      <c r="BE153" s="58" t="str">
        <f t="shared" si="199"/>
        <v>-0,0891434679122529+9,37137808663163i</v>
      </c>
      <c r="BF153" s="37">
        <f t="shared" si="200"/>
        <v>19.436462144918988</v>
      </c>
      <c r="BG153" s="60">
        <f t="shared" si="201"/>
        <v>90.544998867104553</v>
      </c>
      <c r="BH153" s="58" t="str">
        <f t="shared" si="202"/>
        <v>-7,50931275811612+19,3768967121969i</v>
      </c>
      <c r="BI153" s="37">
        <f t="shared" si="203"/>
        <v>26.353368503105798</v>
      </c>
      <c r="BJ153" s="60">
        <f t="shared" si="204"/>
        <v>111.18331692154101</v>
      </c>
      <c r="BK153">
        <f t="shared" si="205"/>
        <v>19.436462144918988</v>
      </c>
      <c r="BL153" s="60">
        <f t="shared" si="206"/>
        <v>90.544998867104553</v>
      </c>
      <c r="BN153">
        <f t="shared" si="207"/>
        <v>0</v>
      </c>
      <c r="BO153">
        <f t="shared" si="208"/>
        <v>0</v>
      </c>
    </row>
    <row r="154" spans="13:67" x14ac:dyDescent="0.25">
      <c r="M154" s="66">
        <v>36</v>
      </c>
      <c r="N154" s="36">
        <f t="shared" si="156"/>
        <v>229.08676527677744</v>
      </c>
      <c r="O154" s="91" t="str">
        <f t="shared" si="157"/>
        <v>13,7404580152672</v>
      </c>
      <c r="P154" s="67" t="str">
        <f t="shared" si="158"/>
        <v>1+1,55454616546886i</v>
      </c>
      <c r="Q154" s="67">
        <f t="shared" si="169"/>
        <v>1.8484084452777032</v>
      </c>
      <c r="R154" s="67">
        <f t="shared" si="170"/>
        <v>0.99916354677407104</v>
      </c>
      <c r="S154" s="67" t="str">
        <f t="shared" si="159"/>
        <v>1+0,0431818379296905i</v>
      </c>
      <c r="T154" s="67">
        <f t="shared" si="171"/>
        <v>1.0009319013434361</v>
      </c>
      <c r="U154" s="67">
        <f t="shared" si="172"/>
        <v>4.3155027942923523E-2</v>
      </c>
      <c r="V154" t="str">
        <f t="shared" si="160"/>
        <v>1-0,00899621623535219i</v>
      </c>
      <c r="W154" s="67">
        <f t="shared" si="173"/>
        <v>1.0000404651345629</v>
      </c>
      <c r="X154" s="67">
        <f t="shared" si="174"/>
        <v>-8.9959735534926068E-3</v>
      </c>
      <c r="Y154" t="str">
        <f t="shared" si="161"/>
        <v>0,999996641232254+0,0156099230921409i</v>
      </c>
      <c r="Z154" s="67">
        <f t="shared" si="175"/>
        <v>1.0001184690699056</v>
      </c>
      <c r="AA154" s="67">
        <f t="shared" si="176"/>
        <v>1.560870780656581E-2</v>
      </c>
      <c r="AB154" s="92" t="str">
        <f t="shared" si="177"/>
        <v>4,14046747540102-6,18145457562167i</v>
      </c>
      <c r="AC154" s="37">
        <f t="shared" si="178"/>
        <v>17.431478449809223</v>
      </c>
      <c r="AD154" s="60">
        <f t="shared" si="179"/>
        <v>-56.184997705773327</v>
      </c>
      <c r="AE154" t="str">
        <f t="shared" si="180"/>
        <v>21,0353732052265</v>
      </c>
      <c r="AF154" t="str">
        <f t="shared" si="162"/>
        <v>1+0,77727308273443i</v>
      </c>
      <c r="AG154">
        <f t="shared" si="181"/>
        <v>1.2665517933126478</v>
      </c>
      <c r="AH154">
        <f t="shared" si="182"/>
        <v>0.66072862809503996</v>
      </c>
      <c r="AI154" t="str">
        <f t="shared" si="163"/>
        <v>1+0,0431818379296905i</v>
      </c>
      <c r="AJ154">
        <f t="shared" si="183"/>
        <v>1.0009319013434361</v>
      </c>
      <c r="AK154">
        <f t="shared" si="184"/>
        <v>4.3155027942923523E-2</v>
      </c>
      <c r="AL154" t="str">
        <f t="shared" si="164"/>
        <v>1-0,00293815191898062i</v>
      </c>
      <c r="AM154">
        <f t="shared" si="185"/>
        <v>1.000004316359034</v>
      </c>
      <c r="AN154">
        <f t="shared" si="186"/>
        <v>-2.9381434642604463E-3</v>
      </c>
      <c r="AO154" s="58" t="str">
        <f t="shared" si="187"/>
        <v>13,5249128610218-9,66600975881169i</v>
      </c>
      <c r="AP154">
        <f t="shared" si="188"/>
        <v>24.414673462672688</v>
      </c>
      <c r="AQ154" s="60">
        <f t="shared" si="189"/>
        <v>-35.552704047522127</v>
      </c>
      <c r="AR154" t="str">
        <f t="shared" si="165"/>
        <v>-1,05811623246493</v>
      </c>
      <c r="AS154" t="str">
        <f t="shared" si="166"/>
        <v>1+0,042560019463503i</v>
      </c>
      <c r="AT154">
        <f t="shared" si="190"/>
        <v>1.0009052678734056</v>
      </c>
      <c r="AU154">
        <f t="shared" si="191"/>
        <v>4.2534350250377703E-2</v>
      </c>
      <c r="AV154" t="str">
        <f t="shared" si="167"/>
        <v>1+0,042560019463503i</v>
      </c>
      <c r="AW154">
        <f t="shared" si="192"/>
        <v>1.0009052678734056</v>
      </c>
      <c r="AX154">
        <f t="shared" si="193"/>
        <v>4.2534350250377703E-2</v>
      </c>
      <c r="AY154" t="str">
        <f t="shared" si="168"/>
        <v>1-0,598085850885802i</v>
      </c>
      <c r="AZ154">
        <f t="shared" si="194"/>
        <v>1.1652067134331976</v>
      </c>
      <c r="BA154">
        <f t="shared" si="195"/>
        <v>-0.53901084904321916</v>
      </c>
      <c r="BB154" s="58" t="str">
        <f t="shared" si="196"/>
        <v>-1,0293179043326+0,676652137272394i</v>
      </c>
      <c r="BC154">
        <f t="shared" si="197"/>
        <v>1.8108676020230408</v>
      </c>
      <c r="BD154" s="60">
        <f t="shared" si="198"/>
        <v>146.67991448438266</v>
      </c>
      <c r="BE154" s="58" t="str">
        <f t="shared" si="199"/>
        <v>-0,0791628546904457+9,16433803604299i</v>
      </c>
      <c r="BF154" s="37">
        <f t="shared" si="200"/>
        <v>19.242346051832261</v>
      </c>
      <c r="BG154" s="60">
        <f t="shared" si="201"/>
        <v>90.494916778609337</v>
      </c>
      <c r="BH154" s="58" t="str">
        <f t="shared" si="202"/>
        <v>-7,38090880019224+19,1010581020318i</v>
      </c>
      <c r="BI154" s="37">
        <f t="shared" si="203"/>
        <v>26.225541064695726</v>
      </c>
      <c r="BJ154" s="60">
        <f t="shared" si="204"/>
        <v>111.12721043686052</v>
      </c>
      <c r="BK154">
        <f t="shared" si="205"/>
        <v>19.242346051832261</v>
      </c>
      <c r="BL154" s="60">
        <f t="shared" si="206"/>
        <v>90.494916778609337</v>
      </c>
      <c r="BN154">
        <f t="shared" si="207"/>
        <v>0</v>
      </c>
      <c r="BO154">
        <f t="shared" si="208"/>
        <v>0</v>
      </c>
    </row>
    <row r="155" spans="13:67" x14ac:dyDescent="0.25">
      <c r="M155" s="66">
        <v>37</v>
      </c>
      <c r="N155" s="36">
        <f t="shared" si="156"/>
        <v>234.42288153199232</v>
      </c>
      <c r="O155" s="91" t="str">
        <f t="shared" si="157"/>
        <v>13,7404580152672</v>
      </c>
      <c r="P155" s="67" t="str">
        <f t="shared" si="158"/>
        <v>1+1,59075619730119i</v>
      </c>
      <c r="Q155" s="67">
        <f t="shared" si="169"/>
        <v>1.8789638844991516</v>
      </c>
      <c r="R155" s="67">
        <f t="shared" si="170"/>
        <v>1.0095896110517695</v>
      </c>
      <c r="S155" s="67" t="str">
        <f t="shared" si="159"/>
        <v>1+0,0441876721472554i</v>
      </c>
      <c r="T155" s="67">
        <f t="shared" si="171"/>
        <v>1.0009757990929617</v>
      </c>
      <c r="U155" s="67">
        <f t="shared" si="172"/>
        <v>4.4158946241156544E-2</v>
      </c>
      <c r="V155" t="str">
        <f t="shared" si="160"/>
        <v>1-0,00920576503067819i</v>
      </c>
      <c r="W155" s="67">
        <f t="shared" si="173"/>
        <v>1.0000423721572003</v>
      </c>
      <c r="X155" s="67">
        <f t="shared" si="174"/>
        <v>-9.2055049929756789E-3</v>
      </c>
      <c r="Y155" t="str">
        <f t="shared" si="161"/>
        <v>0,999996482938407+0,0159735249102292i</v>
      </c>
      <c r="Z155" s="67">
        <f t="shared" si="175"/>
        <v>1.0001240519991714</v>
      </c>
      <c r="AA155" s="67">
        <f t="shared" si="176"/>
        <v>1.5972222716995731E-2</v>
      </c>
      <c r="AB155" s="92" t="str">
        <f t="shared" si="177"/>
        <v>4,01231446680054-6,12158596442765i</v>
      </c>
      <c r="AC155" s="37">
        <f t="shared" si="178"/>
        <v>17.289417684098932</v>
      </c>
      <c r="AD155" s="60">
        <f t="shared" si="179"/>
        <v>-56.757680041668273</v>
      </c>
      <c r="AE155" t="str">
        <f t="shared" si="180"/>
        <v>21,0353732052265</v>
      </c>
      <c r="AF155" t="str">
        <f t="shared" si="162"/>
        <v>1+0,795378098650596i</v>
      </c>
      <c r="AG155">
        <f t="shared" si="181"/>
        <v>1.2777426657246118</v>
      </c>
      <c r="AH155">
        <f t="shared" si="182"/>
        <v>0.67191634889972796</v>
      </c>
      <c r="AI155" t="str">
        <f t="shared" si="163"/>
        <v>1+0,0441876721472554i</v>
      </c>
      <c r="AJ155">
        <f t="shared" si="183"/>
        <v>1.0009757990929617</v>
      </c>
      <c r="AK155">
        <f t="shared" si="184"/>
        <v>4.4158946241156544E-2</v>
      </c>
      <c r="AL155" t="str">
        <f t="shared" si="164"/>
        <v>1-0,0030065902689491i</v>
      </c>
      <c r="AM155">
        <f t="shared" si="185"/>
        <v>1.0000045197823084</v>
      </c>
      <c r="AN155">
        <f t="shared" si="186"/>
        <v>-3.006581209555425E-3</v>
      </c>
      <c r="AO155" s="58" t="str">
        <f t="shared" si="187"/>
        <v>13,3081105916227-9,71872027269155i</v>
      </c>
      <c r="AP155">
        <f t="shared" si="188"/>
        <v>24.338647305095918</v>
      </c>
      <c r="AQ155" s="60">
        <f t="shared" si="189"/>
        <v>-36.140114144501588</v>
      </c>
      <c r="AR155" t="str">
        <f t="shared" si="165"/>
        <v>-1,05811623246493</v>
      </c>
      <c r="AS155" t="str">
        <f t="shared" si="166"/>
        <v>1+0,0435513696683348i</v>
      </c>
      <c r="AT155">
        <f t="shared" si="190"/>
        <v>1.0009479116317632</v>
      </c>
      <c r="AU155">
        <f t="shared" si="191"/>
        <v>4.3523866017531186E-2</v>
      </c>
      <c r="AV155" t="str">
        <f t="shared" si="167"/>
        <v>1+0,0435513696683348i</v>
      </c>
      <c r="AW155">
        <f t="shared" si="192"/>
        <v>1.0009479116317632</v>
      </c>
      <c r="AX155">
        <f t="shared" si="193"/>
        <v>4.3523866017531186E-2</v>
      </c>
      <c r="AY155" t="str">
        <f t="shared" si="168"/>
        <v>1-0,584471754812635i</v>
      </c>
      <c r="AZ155">
        <f t="shared" si="194"/>
        <v>1.1582777008013929</v>
      </c>
      <c r="BA155">
        <f t="shared" si="195"/>
        <v>-0.52892341976682034</v>
      </c>
      <c r="BB155" s="58" t="str">
        <f t="shared" si="196"/>
        <v>-1,02923020136932+0,663263436158162i</v>
      </c>
      <c r="BC155">
        <f t="shared" si="197"/>
        <v>1.7586918896826167</v>
      </c>
      <c r="BD155" s="60">
        <f t="shared" si="198"/>
        <v>147.20118653083745</v>
      </c>
      <c r="BE155" s="58" t="str">
        <f t="shared" si="199"/>
        <v>-0,0693710851182967+8,9617426350647i</v>
      </c>
      <c r="BF155" s="37">
        <f t="shared" si="200"/>
        <v>19.048109573781549</v>
      </c>
      <c r="BG155" s="60">
        <f t="shared" si="201"/>
        <v>90.443506489169195</v>
      </c>
      <c r="BH155" s="58" t="str">
        <f t="shared" si="202"/>
        <v>-7,25103754093563+18,8295835830869i</v>
      </c>
      <c r="BI155" s="37">
        <f t="shared" si="203"/>
        <v>26.097339194778527</v>
      </c>
      <c r="BJ155" s="60">
        <f t="shared" si="204"/>
        <v>111.06107238633588</v>
      </c>
      <c r="BK155">
        <f t="shared" si="205"/>
        <v>19.048109573781549</v>
      </c>
      <c r="BL155" s="60">
        <f t="shared" si="206"/>
        <v>90.443506489169195</v>
      </c>
      <c r="BN155">
        <f t="shared" si="207"/>
        <v>0</v>
      </c>
      <c r="BO155">
        <f t="shared" si="208"/>
        <v>0</v>
      </c>
    </row>
    <row r="156" spans="13:67" x14ac:dyDescent="0.25">
      <c r="M156" s="66">
        <v>38</v>
      </c>
      <c r="N156" s="36">
        <f t="shared" si="156"/>
        <v>239.88329190194912</v>
      </c>
      <c r="O156" s="91" t="str">
        <f t="shared" si="157"/>
        <v>13,7404580152672</v>
      </c>
      <c r="P156" s="67" t="str">
        <f t="shared" si="158"/>
        <v>1+1,6278096691255i</v>
      </c>
      <c r="Q156" s="67">
        <f t="shared" si="169"/>
        <v>1.9104356358952452</v>
      </c>
      <c r="R156" s="67">
        <f t="shared" si="170"/>
        <v>1.0199121320771427</v>
      </c>
      <c r="S156" s="67" t="str">
        <f t="shared" si="159"/>
        <v>1+0,045216935253486i</v>
      </c>
      <c r="T156" s="67">
        <f t="shared" si="171"/>
        <v>1.0010217636164152</v>
      </c>
      <c r="U156" s="67">
        <f t="shared" si="172"/>
        <v>4.5186156587146024E-2</v>
      </c>
      <c r="V156" t="str">
        <f t="shared" si="160"/>
        <v>1-0,00942019484447625i</v>
      </c>
      <c r="W156" s="67">
        <f t="shared" si="173"/>
        <v>1.0000443690511476</v>
      </c>
      <c r="X156" s="67">
        <f t="shared" si="174"/>
        <v>-9.4199162097255845E-3</v>
      </c>
      <c r="Y156" t="str">
        <f t="shared" si="161"/>
        <v>0,999996317184401+0,0163455961026596i</v>
      </c>
      <c r="Z156" s="67">
        <f t="shared" si="175"/>
        <v>1.0001298980104119</v>
      </c>
      <c r="AA156" s="67">
        <f t="shared" si="176"/>
        <v>1.6344200787256444E-2</v>
      </c>
      <c r="AB156" s="92" t="str">
        <f t="shared" si="177"/>
        <v>3,88669385559212-6,05969708221894i</v>
      </c>
      <c r="AC156" s="37">
        <f t="shared" si="178"/>
        <v>17.145503542782908</v>
      </c>
      <c r="AD156" s="60">
        <f t="shared" si="179"/>
        <v>-57.323859744157332</v>
      </c>
      <c r="AE156" t="str">
        <f t="shared" si="180"/>
        <v>21,0353732052265</v>
      </c>
      <c r="AF156" t="str">
        <f t="shared" si="162"/>
        <v>1+0,813904834562749i</v>
      </c>
      <c r="AG156">
        <f t="shared" si="181"/>
        <v>1.2893568473175359</v>
      </c>
      <c r="AH156">
        <f t="shared" si="182"/>
        <v>0.683162179500862</v>
      </c>
      <c r="AI156" t="str">
        <f t="shared" si="163"/>
        <v>1+0,045216935253486i</v>
      </c>
      <c r="AJ156">
        <f t="shared" si="183"/>
        <v>1.0010217636164152</v>
      </c>
      <c r="AK156">
        <f t="shared" si="184"/>
        <v>4.5186156587146024E-2</v>
      </c>
      <c r="AL156" t="str">
        <f t="shared" si="164"/>
        <v>1-0,00307662275287514i</v>
      </c>
      <c r="AM156">
        <f t="shared" si="185"/>
        <v>1.0000047327925821</v>
      </c>
      <c r="AN156">
        <f t="shared" si="186"/>
        <v>-3.0766130455624047E-3</v>
      </c>
      <c r="AO156" s="58" t="str">
        <f t="shared" si="187"/>
        <v>13,0890503964502-9,76680419707107i</v>
      </c>
      <c r="AP156">
        <f t="shared" si="188"/>
        <v>24.260453315424165</v>
      </c>
      <c r="AQ156" s="60">
        <f t="shared" si="189"/>
        <v>-36.729610486203065</v>
      </c>
      <c r="AR156" t="str">
        <f t="shared" si="165"/>
        <v>-1,05811623246493</v>
      </c>
      <c r="AS156" t="str">
        <f t="shared" si="166"/>
        <v>1+0,0445658113858358i</v>
      </c>
      <c r="AT156">
        <f t="shared" si="190"/>
        <v>1.0009925631814045</v>
      </c>
      <c r="AU156">
        <f t="shared" si="191"/>
        <v>4.4536342271081393E-2</v>
      </c>
      <c r="AV156" t="str">
        <f t="shared" si="167"/>
        <v>1+0,0445658113858358i</v>
      </c>
      <c r="AW156">
        <f t="shared" si="192"/>
        <v>1.0009925631814045</v>
      </c>
      <c r="AX156">
        <f t="shared" si="193"/>
        <v>4.4536342271081393E-2</v>
      </c>
      <c r="AY156" t="str">
        <f t="shared" si="168"/>
        <v>1-0,571167553400263i</v>
      </c>
      <c r="AZ156">
        <f t="shared" si="194"/>
        <v>1.151621627991261</v>
      </c>
      <c r="BA156">
        <f t="shared" si="195"/>
        <v>-0.51894932468560817</v>
      </c>
      <c r="BB156" s="58" t="str">
        <f t="shared" si="196"/>
        <v>-1,02913838110987+0,650226046692565i</v>
      </c>
      <c r="BC156">
        <f t="shared" si="197"/>
        <v>1.7082467704274773</v>
      </c>
      <c r="BD156" s="60">
        <f t="shared" si="198"/>
        <v>147.71464946726732</v>
      </c>
      <c r="BE156" s="58" t="str">
        <f t="shared" si="199"/>
        <v>-0,0597729444880608+8,76349642563695i</v>
      </c>
      <c r="BF156" s="37">
        <f t="shared" si="200"/>
        <v>18.853750313210384</v>
      </c>
      <c r="BG156" s="60">
        <f t="shared" si="201"/>
        <v>90.390789723110018</v>
      </c>
      <c r="BH156" s="58" t="str">
        <f t="shared" si="202"/>
        <v>-7,11981365338639+18,5622345542344i</v>
      </c>
      <c r="BI156" s="37">
        <f t="shared" si="203"/>
        <v>25.968700085851655</v>
      </c>
      <c r="BJ156" s="60">
        <f t="shared" si="204"/>
        <v>110.98503898106425</v>
      </c>
      <c r="BK156">
        <f t="shared" si="205"/>
        <v>18.853750313210384</v>
      </c>
      <c r="BL156" s="60">
        <f t="shared" si="206"/>
        <v>90.390789723110018</v>
      </c>
      <c r="BN156">
        <f t="shared" si="207"/>
        <v>0</v>
      </c>
      <c r="BO156">
        <f t="shared" si="208"/>
        <v>0</v>
      </c>
    </row>
    <row r="157" spans="13:67" x14ac:dyDescent="0.25">
      <c r="M157" s="66">
        <v>39</v>
      </c>
      <c r="N157" s="36">
        <f t="shared" si="156"/>
        <v>245.4708915685033</v>
      </c>
      <c r="O157" s="91" t="str">
        <f t="shared" si="157"/>
        <v>13,7404580152672</v>
      </c>
      <c r="P157" s="67" t="str">
        <f t="shared" si="158"/>
        <v>1+1,66572622718297i</v>
      </c>
      <c r="Q157" s="67">
        <f t="shared" si="169"/>
        <v>1.9428442716608072</v>
      </c>
      <c r="R157" s="67">
        <f t="shared" si="170"/>
        <v>1.0301277833381663</v>
      </c>
      <c r="S157" s="67" t="str">
        <f t="shared" si="159"/>
        <v>1+0,0462701729773047i</v>
      </c>
      <c r="T157" s="67">
        <f t="shared" si="171"/>
        <v>1.0010698921191017</v>
      </c>
      <c r="U157" s="67">
        <f t="shared" si="172"/>
        <v>4.6237194945498855E-2</v>
      </c>
      <c r="V157" t="str">
        <f t="shared" si="160"/>
        <v>1-0,00963961937027181i</v>
      </c>
      <c r="W157" s="67">
        <f t="shared" si="173"/>
        <v>1.0000464600515337</v>
      </c>
      <c r="X157" s="67">
        <f t="shared" si="174"/>
        <v>-9.6393208085064925E-3</v>
      </c>
      <c r="Y157" t="str">
        <f t="shared" si="161"/>
        <v>0,999996143618649+0,0167263339465032i</v>
      </c>
      <c r="Z157" s="67">
        <f t="shared" si="175"/>
        <v>1.0001360194990778</v>
      </c>
      <c r="AA157" s="67">
        <f t="shared" si="176"/>
        <v>1.6724838850091323E-2</v>
      </c>
      <c r="AB157" s="92" t="str">
        <f t="shared" si="177"/>
        <v>3,76366049169164-5,995913704081i</v>
      </c>
      <c r="AC157" s="37">
        <f t="shared" si="178"/>
        <v>16.999774529673353</v>
      </c>
      <c r="AD157" s="60">
        <f t="shared" si="179"/>
        <v>-57.883333296389772</v>
      </c>
      <c r="AE157" t="str">
        <f t="shared" si="180"/>
        <v>21,0353732052265</v>
      </c>
      <c r="AF157" t="str">
        <f t="shared" si="162"/>
        <v>1+0,832863113591485i</v>
      </c>
      <c r="AG157">
        <f t="shared" si="181"/>
        <v>1.3014073021084918</v>
      </c>
      <c r="AH157">
        <f t="shared" si="182"/>
        <v>0.69446070528110437</v>
      </c>
      <c r="AI157" t="str">
        <f t="shared" si="163"/>
        <v>1+0,0462701729773047i</v>
      </c>
      <c r="AJ157">
        <f t="shared" si="183"/>
        <v>1.0010698921191017</v>
      </c>
      <c r="AK157">
        <f t="shared" si="184"/>
        <v>4.6237194945498855E-2</v>
      </c>
      <c r="AL157" t="str">
        <f t="shared" si="164"/>
        <v>1-0,00314828650290864i</v>
      </c>
      <c r="AM157">
        <f t="shared" si="185"/>
        <v>1.0000049558416719</v>
      </c>
      <c r="AN157">
        <f t="shared" si="186"/>
        <v>-3.1482761013384261E-3</v>
      </c>
      <c r="AO157" s="58" t="str">
        <f t="shared" si="187"/>
        <v>12,867932555369-9,8101413982475i</v>
      </c>
      <c r="AP157">
        <f t="shared" si="188"/>
        <v>24.180070690611611</v>
      </c>
      <c r="AQ157" s="60">
        <f t="shared" si="189"/>
        <v>-37.320854256733611</v>
      </c>
      <c r="AR157" t="str">
        <f t="shared" si="165"/>
        <v>-1,05811623246493</v>
      </c>
      <c r="AS157" t="str">
        <f t="shared" si="166"/>
        <v>1+0,0456038824864315i</v>
      </c>
      <c r="AT157">
        <f t="shared" si="190"/>
        <v>1.0010393169590475</v>
      </c>
      <c r="AU157">
        <f t="shared" si="191"/>
        <v>4.5572307531429823E-2</v>
      </c>
      <c r="AV157" t="str">
        <f t="shared" si="167"/>
        <v>1+0,0456038824864315i</v>
      </c>
      <c r="AW157">
        <f t="shared" si="192"/>
        <v>1.0010393169590475</v>
      </c>
      <c r="AX157">
        <f t="shared" si="193"/>
        <v>4.5572307531429823E-2</v>
      </c>
      <c r="AY157" t="str">
        <f t="shared" si="168"/>
        <v>1-0,558166192585004i</v>
      </c>
      <c r="AZ157">
        <f t="shared" si="194"/>
        <v>1.1452290157627163</v>
      </c>
      <c r="BA157">
        <f t="shared" si="195"/>
        <v>-0.50909121400196822</v>
      </c>
      <c r="BB157" s="58" t="str">
        <f t="shared" si="196"/>
        <v>-1,02904225105268+0,637533030677918i</v>
      </c>
      <c r="BC157">
        <f t="shared" si="197"/>
        <v>1.6594916910184225</v>
      </c>
      <c r="BD157" s="60">
        <f t="shared" si="198"/>
        <v>148.22012116627275</v>
      </c>
      <c r="BE157" s="58" t="str">
        <f t="shared" si="199"/>
        <v>-0,0503726291223803+8,56950641487604i</v>
      </c>
      <c r="BF157" s="37">
        <f t="shared" si="200"/>
        <v>18.659266220691777</v>
      </c>
      <c r="BG157" s="60">
        <f t="shared" si="201"/>
        <v>90.336787869882983</v>
      </c>
      <c r="BH157" s="58" t="str">
        <f t="shared" si="202"/>
        <v>-6,98735710616734+18,2987820281811i</v>
      </c>
      <c r="BI157" s="37">
        <f t="shared" si="203"/>
        <v>25.839562381630014</v>
      </c>
      <c r="BJ157" s="60">
        <f t="shared" si="204"/>
        <v>110.89926690953918</v>
      </c>
      <c r="BK157">
        <f t="shared" si="205"/>
        <v>18.659266220691777</v>
      </c>
      <c r="BL157" s="60">
        <f t="shared" si="206"/>
        <v>90.336787869882983</v>
      </c>
      <c r="BN157">
        <f t="shared" si="207"/>
        <v>0</v>
      </c>
      <c r="BO157">
        <f t="shared" si="208"/>
        <v>0</v>
      </c>
    </row>
    <row r="158" spans="13:67" x14ac:dyDescent="0.25">
      <c r="M158" s="66">
        <v>40</v>
      </c>
      <c r="N158" s="36">
        <f t="shared" si="156"/>
        <v>251.18864315095806</v>
      </c>
      <c r="O158" s="91" t="str">
        <f t="shared" si="157"/>
        <v>13,7404580152672</v>
      </c>
      <c r="P158" s="67" t="str">
        <f t="shared" si="158"/>
        <v>1+1,7045259753346i</v>
      </c>
      <c r="Q158" s="67">
        <f t="shared" si="169"/>
        <v>1.9762107176590176</v>
      </c>
      <c r="R158" s="67">
        <f t="shared" si="170"/>
        <v>1.040233452055777</v>
      </c>
      <c r="S158" s="67" t="str">
        <f t="shared" si="159"/>
        <v>1+0,0473479437592945i</v>
      </c>
      <c r="T158" s="67">
        <f t="shared" si="171"/>
        <v>1.001120286368343</v>
      </c>
      <c r="U158" s="67">
        <f t="shared" si="172"/>
        <v>4.7312609296878284E-2</v>
      </c>
      <c r="V158" t="str">
        <f t="shared" si="160"/>
        <v>1-0,009864154949853i</v>
      </c>
      <c r="W158" s="67">
        <f t="shared" si="173"/>
        <v>1.0000486495930458</v>
      </c>
      <c r="X158" s="67">
        <f t="shared" si="174"/>
        <v>-9.8638350359981884E-3</v>
      </c>
      <c r="Y158" t="str">
        <f t="shared" si="161"/>
        <v>0,999995961872995+0,0171159403140045i</v>
      </c>
      <c r="Z158" s="67">
        <f t="shared" si="175"/>
        <v>1.0001424294444912</v>
      </c>
      <c r="AA158" s="67">
        <f t="shared" si="176"/>
        <v>1.7114338301654965E-2</v>
      </c>
      <c r="AB158" s="92" t="str">
        <f t="shared" si="177"/>
        <v>3,64326161789345-5,93036208868361i</v>
      </c>
      <c r="AC158" s="37">
        <f t="shared" si="178"/>
        <v>16.852269936759143</v>
      </c>
      <c r="AD158" s="60">
        <f t="shared" si="179"/>
        <v>-58.435909151877553</v>
      </c>
      <c r="AE158" t="str">
        <f t="shared" si="180"/>
        <v>21,0353732052265</v>
      </c>
      <c r="AF158" t="str">
        <f t="shared" si="162"/>
        <v>1+0,8522629876673i</v>
      </c>
      <c r="AG158">
        <f t="shared" si="181"/>
        <v>1.3139072266136571</v>
      </c>
      <c r="AH158">
        <f t="shared" si="182"/>
        <v>0.7058063789470207</v>
      </c>
      <c r="AI158" t="str">
        <f t="shared" si="163"/>
        <v>1+0,0473479437592945i</v>
      </c>
      <c r="AJ158">
        <f t="shared" si="183"/>
        <v>1.001120286368343</v>
      </c>
      <c r="AK158">
        <f t="shared" si="184"/>
        <v>4.7312609296878284E-2</v>
      </c>
      <c r="AL158" t="str">
        <f t="shared" si="164"/>
        <v>1-0,00322161951611851i</v>
      </c>
      <c r="AM158">
        <f t="shared" si="185"/>
        <v>1.0000051894026885</v>
      </c>
      <c r="AN158">
        <f t="shared" si="186"/>
        <v>-3.221608370638345E-3</v>
      </c>
      <c r="AO158" s="58" t="str">
        <f t="shared" si="187"/>
        <v>12,6449655275013-9,84862240078819i</v>
      </c>
      <c r="AP158">
        <f t="shared" si="188"/>
        <v>24.09748071733511</v>
      </c>
      <c r="AQ158" s="60">
        <f t="shared" si="189"/>
        <v>-37.913498399494458</v>
      </c>
      <c r="AR158" t="str">
        <f t="shared" si="165"/>
        <v>-1,05811623246493</v>
      </c>
      <c r="AS158" t="str">
        <f t="shared" si="166"/>
        <v>1+0,0466661333691606i</v>
      </c>
      <c r="AT158">
        <f t="shared" si="190"/>
        <v>1.0010882718340217</v>
      </c>
      <c r="AU158">
        <f t="shared" si="191"/>
        <v>4.6632302181426194E-2</v>
      </c>
      <c r="AV158" t="str">
        <f t="shared" si="167"/>
        <v>1+0,0466661333691606i</v>
      </c>
      <c r="AW158">
        <f t="shared" si="192"/>
        <v>1.0010882718340217</v>
      </c>
      <c r="AX158">
        <f t="shared" si="193"/>
        <v>4.6632302181426194E-2</v>
      </c>
      <c r="AY158" t="str">
        <f t="shared" si="168"/>
        <v>1-0,545460778873253i</v>
      </c>
      <c r="AZ158">
        <f t="shared" si="194"/>
        <v>1.1390906290936713</v>
      </c>
      <c r="BA158">
        <f t="shared" si="195"/>
        <v>-0.49935152576730951</v>
      </c>
      <c r="BB158" s="58" t="str">
        <f t="shared" si="196"/>
        <v>-1,02894160977176+0,625177630689441i</v>
      </c>
      <c r="BC158">
        <f t="shared" si="197"/>
        <v>1.6123856505976479</v>
      </c>
      <c r="BD158" s="60">
        <f t="shared" si="198"/>
        <v>148.71743097614052</v>
      </c>
      <c r="BE158" s="58" t="str">
        <f t="shared" si="199"/>
        <v>-0,0411737542012491+8,37968198031594i</v>
      </c>
      <c r="BF158" s="37">
        <f t="shared" si="200"/>
        <v>18.464655587356791</v>
      </c>
      <c r="BG158" s="60">
        <f t="shared" si="201"/>
        <v>90.281521824262981</v>
      </c>
      <c r="BH158" s="58" t="str">
        <f t="shared" si="202"/>
        <v>-6,85379276729589+18,0390069757341i</v>
      </c>
      <c r="BI158" s="37">
        <f t="shared" si="203"/>
        <v>25.709866367932747</v>
      </c>
      <c r="BJ158" s="60">
        <f t="shared" si="204"/>
        <v>110.80393257664612</v>
      </c>
      <c r="BK158">
        <f t="shared" si="205"/>
        <v>18.464655587356791</v>
      </c>
      <c r="BL158" s="60">
        <f t="shared" si="206"/>
        <v>90.281521824262981</v>
      </c>
      <c r="BN158">
        <f t="shared" si="207"/>
        <v>0</v>
      </c>
      <c r="BO158">
        <f t="shared" si="208"/>
        <v>0</v>
      </c>
    </row>
    <row r="159" spans="13:67" x14ac:dyDescent="0.25">
      <c r="M159" s="66">
        <v>41</v>
      </c>
      <c r="N159" s="36">
        <f t="shared" si="156"/>
        <v>257.03957827688663</v>
      </c>
      <c r="O159" s="91" t="str">
        <f t="shared" si="157"/>
        <v>13,7404580152672</v>
      </c>
      <c r="P159" s="67" t="str">
        <f t="shared" si="158"/>
        <v>1+1,74422948572041i</v>
      </c>
      <c r="Q159" s="67">
        <f t="shared" si="169"/>
        <v>2.0105562660260183</v>
      </c>
      <c r="R159" s="67">
        <f t="shared" si="170"/>
        <v>1.0502262395691691</v>
      </c>
      <c r="S159" s="67" t="str">
        <f t="shared" si="159"/>
        <v>1+0,0484508190477891i</v>
      </c>
      <c r="T159" s="67">
        <f t="shared" si="171"/>
        <v>1.0011730529066398</v>
      </c>
      <c r="U159" s="67">
        <f t="shared" si="172"/>
        <v>4.8412959884677219E-2</v>
      </c>
      <c r="V159" t="str">
        <f t="shared" si="160"/>
        <v>1-0,0100939206349561i</v>
      </c>
      <c r="W159" s="67">
        <f t="shared" si="173"/>
        <v>1.0000509423193324</v>
      </c>
      <c r="X159" s="67">
        <f t="shared" si="174"/>
        <v>-1.0093577842027742E-2</v>
      </c>
      <c r="Y159" t="str">
        <f t="shared" si="161"/>
        <v>0,999995771561933+0,0175146217796164i</v>
      </c>
      <c r="Z159" s="67">
        <f t="shared" si="175"/>
        <v>1.0001491414373302</v>
      </c>
      <c r="AA159" s="67">
        <f t="shared" si="176"/>
        <v>1.7512905206278503E-2</v>
      </c>
      <c r="AB159" s="92" t="str">
        <f t="shared" si="177"/>
        <v>3,52553701063986-5,86316847294718i</v>
      </c>
      <c r="AC159" s="37">
        <f t="shared" si="178"/>
        <v>16.703029734771782</v>
      </c>
      <c r="AD159" s="60">
        <f t="shared" si="179"/>
        <v>-58.98140775194792</v>
      </c>
      <c r="AE159" t="str">
        <f t="shared" si="180"/>
        <v>21,0353732052265</v>
      </c>
      <c r="AF159" t="str">
        <f t="shared" si="162"/>
        <v>1+0,872114742860205i</v>
      </c>
      <c r="AG159">
        <f t="shared" si="181"/>
        <v>1.3268700481637685</v>
      </c>
      <c r="AH159">
        <f t="shared" si="182"/>
        <v>0.71719353322175539</v>
      </c>
      <c r="AI159" t="str">
        <f t="shared" si="163"/>
        <v>1+0,0484508190477891i</v>
      </c>
      <c r="AJ159">
        <f t="shared" si="183"/>
        <v>1.0011730529066398</v>
      </c>
      <c r="AK159">
        <f t="shared" si="184"/>
        <v>4.8412959884677219E-2</v>
      </c>
      <c r="AL159" t="str">
        <f t="shared" si="164"/>
        <v>1-0,00329666067463898i</v>
      </c>
      <c r="AM159">
        <f t="shared" si="185"/>
        <v>1.0000054339710378</v>
      </c>
      <c r="AN159">
        <f t="shared" si="186"/>
        <v>-3.296648732045322E-3</v>
      </c>
      <c r="AO159" s="58" t="str">
        <f t="shared" si="187"/>
        <v>12,4203652224915-9,88214904909585i</v>
      </c>
      <c r="AP159">
        <f t="shared" si="188"/>
        <v>24.012666852254888</v>
      </c>
      <c r="AQ159" s="60">
        <f t="shared" si="189"/>
        <v>-38.507188331437256</v>
      </c>
      <c r="AR159" t="str">
        <f t="shared" si="165"/>
        <v>-1,05811623246493</v>
      </c>
      <c r="AS159" t="str">
        <f t="shared" si="166"/>
        <v>1+0,047753127253501i</v>
      </c>
      <c r="AT159">
        <f t="shared" si="190"/>
        <v>1.0011395313154352</v>
      </c>
      <c r="AU159">
        <f t="shared" si="191"/>
        <v>4.7716878710859938E-2</v>
      </c>
      <c r="AV159" t="str">
        <f t="shared" si="167"/>
        <v>1+0,047753127253501i</v>
      </c>
      <c r="AW159">
        <f t="shared" si="192"/>
        <v>1.0011395313154352</v>
      </c>
      <c r="AX159">
        <f t="shared" si="193"/>
        <v>4.7716878710859938E-2</v>
      </c>
      <c r="AY159" t="str">
        <f t="shared" si="168"/>
        <v>1-0,533044575686492i</v>
      </c>
      <c r="AZ159">
        <f t="shared" si="194"/>
        <v>1.1331974760247183</v>
      </c>
      <c r="BA159">
        <f t="shared" si="195"/>
        <v>-0.48973248798280478</v>
      </c>
      <c r="BB159" s="58" t="str">
        <f t="shared" si="196"/>
        <v>-1,02883624651036+0,613153266363881i</v>
      </c>
      <c r="BC159">
        <f t="shared" si="197"/>
        <v>1.5668873010068105</v>
      </c>
      <c r="BD159" s="60">
        <f t="shared" si="198"/>
        <v>149.20641958647417</v>
      </c>
      <c r="BE159" s="58" t="str">
        <f t="shared" si="199"/>
        <v>-0,0321793645307769+8,19393477812544i</v>
      </c>
      <c r="BF159" s="37">
        <f t="shared" si="200"/>
        <v>18.269917035778597</v>
      </c>
      <c r="BG159" s="60">
        <f t="shared" si="201"/>
        <v>90.225011834526256</v>
      </c>
      <c r="BH159" s="58" t="str">
        <f t="shared" si="202"/>
        <v>-6,71924996764813+17,7827006407307i</v>
      </c>
      <c r="BI159" s="37">
        <f t="shared" si="203"/>
        <v>25.579554153261697</v>
      </c>
      <c r="BJ159" s="60">
        <f t="shared" si="204"/>
        <v>110.69923125503695</v>
      </c>
      <c r="BK159">
        <f t="shared" si="205"/>
        <v>18.269917035778597</v>
      </c>
      <c r="BL159" s="60">
        <f t="shared" si="206"/>
        <v>90.225011834526256</v>
      </c>
      <c r="BN159">
        <f t="shared" si="207"/>
        <v>0</v>
      </c>
      <c r="BO159">
        <f t="shared" si="208"/>
        <v>0</v>
      </c>
    </row>
    <row r="160" spans="13:67" x14ac:dyDescent="0.25">
      <c r="M160" s="66">
        <v>42</v>
      </c>
      <c r="N160" s="36">
        <f t="shared" si="156"/>
        <v>263.02679918953817</v>
      </c>
      <c r="O160" s="91" t="str">
        <f t="shared" si="157"/>
        <v>13,7404580152672</v>
      </c>
      <c r="P160" s="67" t="str">
        <f t="shared" si="158"/>
        <v>1+1,78485780966715i</v>
      </c>
      <c r="Q160" s="67">
        <f t="shared" si="169"/>
        <v>2.0459025882797586</v>
      </c>
      <c r="R160" s="67">
        <f t="shared" si="170"/>
        <v>1.0601034608849926</v>
      </c>
      <c r="S160" s="67" t="str">
        <f t="shared" si="159"/>
        <v>1+0,0495793836018655i</v>
      </c>
      <c r="T160" s="67">
        <f t="shared" si="171"/>
        <v>1.0012283032747031</v>
      </c>
      <c r="U160" s="67">
        <f t="shared" si="172"/>
        <v>4.953881946510004E-2</v>
      </c>
      <c r="V160" t="str">
        <f t="shared" si="160"/>
        <v>1-0,0103290382503886i</v>
      </c>
      <c r="W160" s="67">
        <f t="shared" si="173"/>
        <v>1.0000533430928462</v>
      </c>
      <c r="X160" s="67">
        <f t="shared" si="174"/>
        <v>-1.032867094220632E-2</v>
      </c>
      <c r="Y160" t="str">
        <f t="shared" si="161"/>
        <v>0,999995572281786+0,0179225897295293i</v>
      </c>
      <c r="Z160" s="67">
        <f t="shared" si="175"/>
        <v>1.000156169708406</v>
      </c>
      <c r="AA160" s="67">
        <f t="shared" si="176"/>
        <v>1.7920750403566978E-2</v>
      </c>
      <c r="AB160" s="92" t="str">
        <f t="shared" si="177"/>
        <v>3,41051915593265-5,79445859213665i</v>
      </c>
      <c r="AC160" s="37">
        <f t="shared" si="178"/>
        <v>16.552094466163933</v>
      </c>
      <c r="AD160" s="60">
        <f t="shared" si="179"/>
        <v>-59.51966149531092</v>
      </c>
      <c r="AE160" t="str">
        <f t="shared" si="180"/>
        <v>21,0353732052265</v>
      </c>
      <c r="AF160" t="str">
        <f t="shared" si="162"/>
        <v>1+0,892428904833578i</v>
      </c>
      <c r="AG160">
        <f t="shared" si="181"/>
        <v>1.3403094232983888</v>
      </c>
      <c r="AH160">
        <f t="shared" si="182"/>
        <v>0.72861639426799607</v>
      </c>
      <c r="AI160" t="str">
        <f t="shared" si="163"/>
        <v>1+0,0495793836018655i</v>
      </c>
      <c r="AJ160">
        <f t="shared" si="183"/>
        <v>1.0012283032747031</v>
      </c>
      <c r="AK160">
        <f t="shared" si="184"/>
        <v>4.953881946510004E-2</v>
      </c>
      <c r="AL160" t="str">
        <f t="shared" si="164"/>
        <v>1-0,0033734497662856i</v>
      </c>
      <c r="AM160">
        <f t="shared" si="185"/>
        <v>1.0000056900654744</v>
      </c>
      <c r="AN160">
        <f t="shared" si="186"/>
        <v>-3.3734369695698732E-3</v>
      </c>
      <c r="AO160" s="58" t="str">
        <f t="shared" si="187"/>
        <v>12,1943542092379-9,91063510957546i</v>
      </c>
      <c r="AP160">
        <f t="shared" si="188"/>
        <v>23.925614794730965</v>
      </c>
      <c r="AQ160" s="60">
        <f t="shared" si="189"/>
        <v>-39.101562698995089</v>
      </c>
      <c r="AR160" t="str">
        <f t="shared" si="165"/>
        <v>-1,05811623246493</v>
      </c>
      <c r="AS160" t="str">
        <f t="shared" si="166"/>
        <v>1+0,0488654404779986i</v>
      </c>
      <c r="AT160">
        <f t="shared" si="190"/>
        <v>1.0011932037689373</v>
      </c>
      <c r="AU160">
        <f t="shared" si="191"/>
        <v>4.8826601964406711E-2</v>
      </c>
      <c r="AV160" t="str">
        <f t="shared" si="167"/>
        <v>1+0,0488654404779986i</v>
      </c>
      <c r="AW160">
        <f t="shared" si="192"/>
        <v>1.0011932037689373</v>
      </c>
      <c r="AX160">
        <f t="shared" si="193"/>
        <v>4.8826601964406711E-2</v>
      </c>
      <c r="AY160" t="str">
        <f t="shared" si="168"/>
        <v>1-0,520910999789437i</v>
      </c>
      <c r="AZ160">
        <f t="shared" si="194"/>
        <v>1.1275408062246044</v>
      </c>
      <c r="BA160">
        <f t="shared" si="195"/>
        <v>-0.48023612138259891</v>
      </c>
      <c r="BB160" s="58" t="str">
        <f t="shared" si="196"/>
        <v>-1,02872594075666+0,601453530772957i</v>
      </c>
      <c r="BC160">
        <f t="shared" si="197"/>
        <v>1.5229550433069459</v>
      </c>
      <c r="BD160" s="60">
        <f t="shared" si="198"/>
        <v>149.68693885451901</v>
      </c>
      <c r="BE160" s="58" t="str">
        <f t="shared" si="199"/>
        <v>-0,0233919479971396+8,01217865447578i</v>
      </c>
      <c r="BF160" s="37">
        <f t="shared" si="200"/>
        <v>18.075049509470876</v>
      </c>
      <c r="BG160" s="60">
        <f t="shared" si="201"/>
        <v>90.167277359208114</v>
      </c>
      <c r="BH160" s="58" t="str">
        <f t="shared" si="202"/>
        <v>-6,5838620269616+17,5296648212362i</v>
      </c>
      <c r="BI160" s="37">
        <f t="shared" si="203"/>
        <v>25.448569838037912</v>
      </c>
      <c r="BJ160" s="60">
        <f t="shared" si="204"/>
        <v>110.58537615552395</v>
      </c>
      <c r="BK160">
        <f t="shared" si="205"/>
        <v>18.075049509470876</v>
      </c>
      <c r="BL160" s="60">
        <f t="shared" si="206"/>
        <v>90.167277359208114</v>
      </c>
      <c r="BN160">
        <f t="shared" si="207"/>
        <v>0</v>
      </c>
      <c r="BO160">
        <f t="shared" si="208"/>
        <v>0</v>
      </c>
    </row>
    <row r="161" spans="13:67" x14ac:dyDescent="0.25">
      <c r="M161" s="66">
        <v>43</v>
      </c>
      <c r="N161" s="36">
        <f t="shared" si="156"/>
        <v>269.15348039269179</v>
      </c>
      <c r="O161" s="91" t="str">
        <f t="shared" si="157"/>
        <v>13,7404580152672</v>
      </c>
      <c r="P161" s="67" t="str">
        <f t="shared" si="158"/>
        <v>1+1,82643248884998i</v>
      </c>
      <c r="Q161" s="67">
        <f t="shared" si="169"/>
        <v>2.0822717489143274</v>
      </c>
      <c r="R161" s="67">
        <f t="shared" si="170"/>
        <v>1.069862643435485</v>
      </c>
      <c r="S161" s="67" t="str">
        <f t="shared" si="159"/>
        <v>1+0,0507342358013884i</v>
      </c>
      <c r="T161" s="67">
        <f t="shared" si="171"/>
        <v>1.0012861542448048</v>
      </c>
      <c r="U161" s="67">
        <f t="shared" si="172"/>
        <v>5.0690773560557352E-2</v>
      </c>
      <c r="V161" t="str">
        <f t="shared" si="160"/>
        <v>1-0,0105696324586226i</v>
      </c>
      <c r="W161" s="67">
        <f t="shared" si="173"/>
        <v>1.0000558570051528</v>
      </c>
      <c r="X161" s="67">
        <f t="shared" si="174"/>
        <v>-1.0569238882001576E-2</v>
      </c>
      <c r="Y161" t="str">
        <f t="shared" si="161"/>
        <v>0,999995363609856+0,0183400604737504i</v>
      </c>
      <c r="Z161" s="67">
        <f t="shared" si="175"/>
        <v>1.0001635291588016</v>
      </c>
      <c r="AA161" s="67">
        <f t="shared" si="176"/>
        <v>1.8338089617873133E-2</v>
      </c>
      <c r="AB161" s="92" t="str">
        <f t="shared" si="177"/>
        <v>3,29823345691014-5,7243572276527i</v>
      </c>
      <c r="AC161" s="37">
        <f t="shared" si="178"/>
        <v>16.399505140996517</v>
      </c>
      <c r="AD161" s="60">
        <f t="shared" si="179"/>
        <v>-60.05051466233077</v>
      </c>
      <c r="AE161" t="str">
        <f t="shared" si="180"/>
        <v>21,0353732052265</v>
      </c>
      <c r="AF161" t="str">
        <f t="shared" si="162"/>
        <v>1+0,91321624442499i</v>
      </c>
      <c r="AG161">
        <f t="shared" si="181"/>
        <v>1.3542392362805336</v>
      </c>
      <c r="AH161">
        <f t="shared" si="182"/>
        <v>0.74006909576859981</v>
      </c>
      <c r="AI161" t="str">
        <f t="shared" si="163"/>
        <v>1+0,0507342358013884i</v>
      </c>
      <c r="AJ161">
        <f t="shared" si="183"/>
        <v>1.0012861542448048</v>
      </c>
      <c r="AK161">
        <f t="shared" si="184"/>
        <v>5.0690773560557352E-2</v>
      </c>
      <c r="AL161" t="str">
        <f t="shared" si="164"/>
        <v>1-0,00345202750565121i</v>
      </c>
      <c r="AM161">
        <f t="shared" si="185"/>
        <v>1.0000059582291996</v>
      </c>
      <c r="AN161">
        <f t="shared" si="186"/>
        <v>-3.4520137937276776E-3</v>
      </c>
      <c r="AO161" s="58" t="str">
        <f t="shared" si="187"/>
        <v>11,9671608678051-9,93400680665857i</v>
      </c>
      <c r="AP161">
        <f t="shared" si="188"/>
        <v>23.836312551401416</v>
      </c>
      <c r="AQ161" s="60">
        <f t="shared" si="189"/>
        <v>-39.696254171532104</v>
      </c>
      <c r="AR161" t="str">
        <f t="shared" si="165"/>
        <v>-1,05811623246493</v>
      </c>
      <c r="AS161" t="str">
        <f t="shared" si="166"/>
        <v>1+0,0500036628058483i</v>
      </c>
      <c r="AT161">
        <f t="shared" si="190"/>
        <v>1.0012494026435177</v>
      </c>
      <c r="AU161">
        <f t="shared" si="191"/>
        <v>4.9962049392944408E-2</v>
      </c>
      <c r="AV161" t="str">
        <f t="shared" si="167"/>
        <v>1+0,0500036628058483i</v>
      </c>
      <c r="AW161">
        <f t="shared" si="192"/>
        <v>1.0012494026435177</v>
      </c>
      <c r="AX161">
        <f t="shared" si="193"/>
        <v>4.9962049392944408E-2</v>
      </c>
      <c r="AY161" t="str">
        <f t="shared" si="168"/>
        <v>1-0,509053617799541i</v>
      </c>
      <c r="AZ161">
        <f t="shared" si="194"/>
        <v>1.122112109280887</v>
      </c>
      <c r="BA161">
        <f t="shared" si="195"/>
        <v>-0.470864242845978</v>
      </c>
      <c r="BB161" s="58" t="str">
        <f t="shared" si="196"/>
        <v>-1,02861046180111+0,590072186879164i</v>
      </c>
      <c r="BC161">
        <f t="shared" si="197"/>
        <v>1.4805471201731615</v>
      </c>
      <c r="BD161" s="60">
        <f t="shared" si="198"/>
        <v>150.1588515952624</v>
      </c>
      <c r="BE161" s="58" t="str">
        <f t="shared" si="199"/>
        <v>-0,014813451441634+7,83432956020736i</v>
      </c>
      <c r="BF161" s="37">
        <f t="shared" si="200"/>
        <v>17.880052261169681</v>
      </c>
      <c r="BG161" s="60">
        <f t="shared" si="201"/>
        <v>90.108336932931607</v>
      </c>
      <c r="BH161" s="58" t="str">
        <f t="shared" si="202"/>
        <v>-6,44776574580366+17,279712112933i</v>
      </c>
      <c r="BI161" s="37">
        <f t="shared" si="203"/>
        <v>25.316859671574605</v>
      </c>
      <c r="BJ161" s="60">
        <f t="shared" si="204"/>
        <v>110.46259742373024</v>
      </c>
      <c r="BK161">
        <f t="shared" si="205"/>
        <v>17.880052261169681</v>
      </c>
      <c r="BL161" s="60">
        <f t="shared" si="206"/>
        <v>90.108336932931607</v>
      </c>
      <c r="BN161">
        <f t="shared" si="207"/>
        <v>0</v>
      </c>
      <c r="BO161">
        <f t="shared" si="208"/>
        <v>0</v>
      </c>
    </row>
    <row r="162" spans="13:67" x14ac:dyDescent="0.25">
      <c r="M162" s="66">
        <v>44</v>
      </c>
      <c r="N162" s="36">
        <f t="shared" si="156"/>
        <v>275.42287033381683</v>
      </c>
      <c r="O162" s="91" t="str">
        <f t="shared" si="157"/>
        <v>13,7404580152672</v>
      </c>
      <c r="P162" s="67" t="str">
        <f t="shared" si="158"/>
        <v>1+1,86897556671408i</v>
      </c>
      <c r="Q162" s="67">
        <f t="shared" si="169"/>
        <v>2.1196862194613182</v>
      </c>
      <c r="R162" s="67">
        <f t="shared" si="170"/>
        <v>1.0795015250941542</v>
      </c>
      <c r="S162" s="67" t="str">
        <f t="shared" si="159"/>
        <v>1+0,0519159879642802i</v>
      </c>
      <c r="T162" s="67">
        <f t="shared" si="171"/>
        <v>1.0013467280649131</v>
      </c>
      <c r="U162" s="67">
        <f t="shared" si="172"/>
        <v>5.1869420716285537E-2</v>
      </c>
      <c r="V162" t="str">
        <f t="shared" si="160"/>
        <v>1-0,0108158308258917i</v>
      </c>
      <c r="W162" s="67">
        <f t="shared" si="173"/>
        <v>1.0000584893877229</v>
      </c>
      <c r="X162" s="67">
        <f t="shared" si="174"/>
        <v>-1.08154091022763E-2</v>
      </c>
      <c r="Y162" t="str">
        <f t="shared" si="161"/>
        <v>0,99999514510352+0,018767255360794i</v>
      </c>
      <c r="Z162" s="67">
        <f t="shared" si="175"/>
        <v>1.0001712353914138</v>
      </c>
      <c r="AA162" s="67">
        <f t="shared" si="176"/>
        <v>1.8765143570196374E-2</v>
      </c>
      <c r="AB162" s="92" t="str">
        <f t="shared" si="177"/>
        <v>3,18869846952312-5,65298778434712i</v>
      </c>
      <c r="AC162" s="37">
        <f t="shared" si="178"/>
        <v>16.245303136179043</v>
      </c>
      <c r="AD162" s="60">
        <f t="shared" si="179"/>
        <v>-60.573823296796249</v>
      </c>
      <c r="AE162" t="str">
        <f t="shared" si="180"/>
        <v>21,0353732052265</v>
      </c>
      <c r="AF162" t="str">
        <f t="shared" si="162"/>
        <v>1+0,934487783357043i</v>
      </c>
      <c r="AG162">
        <f t="shared" si="181"/>
        <v>1.3686735977739761</v>
      </c>
      <c r="AH162">
        <f t="shared" si="182"/>
        <v>0.7515456935849617</v>
      </c>
      <c r="AI162" t="str">
        <f t="shared" si="163"/>
        <v>1+0,0519159879642802i</v>
      </c>
      <c r="AJ162">
        <f t="shared" si="183"/>
        <v>1.0013467280649131</v>
      </c>
      <c r="AK162">
        <f t="shared" si="184"/>
        <v>5.1869420716285537E-2</v>
      </c>
      <c r="AL162" t="str">
        <f t="shared" si="164"/>
        <v>1-0,0035324355556933i</v>
      </c>
      <c r="AM162">
        <f t="shared" si="185"/>
        <v>1.0000062390310149</v>
      </c>
      <c r="AN162">
        <f t="shared" si="186"/>
        <v>-3.532420863107474E-3</v>
      </c>
      <c r="AO162" s="58" t="str">
        <f t="shared" si="187"/>
        <v>11,7390184910435-9,95220328657333i</v>
      </c>
      <c r="AP162">
        <f t="shared" si="188"/>
        <v>23.744750492087</v>
      </c>
      <c r="AQ162" s="60">
        <f t="shared" si="189"/>
        <v>-40.290890267738938</v>
      </c>
      <c r="AR162" t="str">
        <f t="shared" si="165"/>
        <v>-1,05811623246493</v>
      </c>
      <c r="AS162" t="str">
        <f t="shared" si="166"/>
        <v>1+0,0511683977375945i</v>
      </c>
      <c r="AT162">
        <f t="shared" si="190"/>
        <v>1.0013082467087908</v>
      </c>
      <c r="AU162">
        <f t="shared" si="191"/>
        <v>5.1123811308154903E-2</v>
      </c>
      <c r="AV162" t="str">
        <f t="shared" si="167"/>
        <v>1+0,0511683977375945i</v>
      </c>
      <c r="AW162">
        <f t="shared" si="192"/>
        <v>1.0013082467087908</v>
      </c>
      <c r="AX162">
        <f t="shared" si="193"/>
        <v>5.1123811308154903E-2</v>
      </c>
      <c r="AY162" t="str">
        <f t="shared" si="168"/>
        <v>1-0,497466142775924i</v>
      </c>
      <c r="AZ162">
        <f t="shared" si="194"/>
        <v>1.1169031127221178</v>
      </c>
      <c r="BA162">
        <f t="shared" si="195"/>
        <v>-0.46161846938362783</v>
      </c>
      <c r="BB162" s="58" t="str">
        <f t="shared" si="196"/>
        <v>-1,0284895682744+0,579003164071353i</v>
      </c>
      <c r="BC162">
        <f t="shared" si="197"/>
        <v>1.4396217038849659</v>
      </c>
      <c r="BD162" s="60">
        <f t="shared" si="198"/>
        <v>150.62203133844864</v>
      </c>
      <c r="BE162" s="58" t="str">
        <f t="shared" si="199"/>
        <v>-0,00644529868338406+7,66030546890699i</v>
      </c>
      <c r="BF162" s="37">
        <f t="shared" si="200"/>
        <v>17.684924840064006</v>
      </c>
      <c r="BG162" s="60">
        <f t="shared" si="201"/>
        <v>90.048208041652373</v>
      </c>
      <c r="BH162" s="58" t="str">
        <f t="shared" si="202"/>
        <v>-6,31110086741125+17,0326661109932i</v>
      </c>
      <c r="BI162" s="37">
        <f t="shared" si="203"/>
        <v>25.184372195971978</v>
      </c>
      <c r="BJ162" s="60">
        <f t="shared" si="204"/>
        <v>110.33114107070965</v>
      </c>
      <c r="BK162">
        <f t="shared" si="205"/>
        <v>17.684924840064006</v>
      </c>
      <c r="BL162" s="60">
        <f t="shared" si="206"/>
        <v>90.048208041652373</v>
      </c>
      <c r="BN162">
        <f t="shared" si="207"/>
        <v>0</v>
      </c>
      <c r="BO162">
        <f t="shared" si="208"/>
        <v>0</v>
      </c>
    </row>
    <row r="163" spans="13:67" x14ac:dyDescent="0.25">
      <c r="M163" s="66">
        <v>45</v>
      </c>
      <c r="N163" s="36">
        <f t="shared" si="156"/>
        <v>281.83829312644554</v>
      </c>
      <c r="O163" s="91" t="str">
        <f t="shared" si="157"/>
        <v>13,7404580152672</v>
      </c>
      <c r="P163" s="67" t="str">
        <f t="shared" si="158"/>
        <v>1+1,91250960016247i</v>
      </c>
      <c r="Q163" s="67">
        <f t="shared" si="169"/>
        <v>2.1581688930001772</v>
      </c>
      <c r="R163" s="67">
        <f t="shared" si="170"/>
        <v>1.0890180515003942</v>
      </c>
      <c r="S163" s="67" t="str">
        <f t="shared" si="159"/>
        <v>1+0,0531252666711799i</v>
      </c>
      <c r="T163" s="67">
        <f t="shared" si="171"/>
        <v>1.0014101527141035</v>
      </c>
      <c r="U163" s="67">
        <f t="shared" si="172"/>
        <v>5.3075372760074284E-2</v>
      </c>
      <c r="V163" t="str">
        <f t="shared" si="160"/>
        <v>1-0,0110677638898291i</v>
      </c>
      <c r="W163" s="67">
        <f t="shared" si="173"/>
        <v>1.000061245823235</v>
      </c>
      <c r="X163" s="67">
        <f t="shared" si="174"/>
        <v>-1.1067312006328375E-2</v>
      </c>
      <c r="Y163" t="str">
        <f t="shared" si="161"/>
        <v>0,999994916299298+0,019204400895044i</v>
      </c>
      <c r="Z163" s="67">
        <f t="shared" si="175"/>
        <v>1.0001793047439933</v>
      </c>
      <c r="AA163" s="67">
        <f t="shared" si="176"/>
        <v>1.9202138092554364E-2</v>
      </c>
      <c r="AB163" s="92" t="str">
        <f t="shared" si="177"/>
        <v>3,08192616270652-5,58047189875534i</v>
      </c>
      <c r="AC163" s="37">
        <f t="shared" si="178"/>
        <v>16.089530098453604</v>
      </c>
      <c r="AD163" s="60">
        <f t="shared" si="179"/>
        <v>-61.089455048145112</v>
      </c>
      <c r="AE163" t="str">
        <f t="shared" si="180"/>
        <v>21,0353732052265</v>
      </c>
      <c r="AF163" t="str">
        <f t="shared" si="162"/>
        <v>1+0,956254800081237i</v>
      </c>
      <c r="AG163">
        <f t="shared" si="181"/>
        <v>1.3836268437257231</v>
      </c>
      <c r="AH163">
        <f t="shared" si="182"/>
        <v>0.76304018090651538</v>
      </c>
      <c r="AI163" t="str">
        <f t="shared" si="163"/>
        <v>1+0,0531252666711799i</v>
      </c>
      <c r="AJ163">
        <f t="shared" si="183"/>
        <v>1.0014101527141035</v>
      </c>
      <c r="AK163">
        <f t="shared" si="184"/>
        <v>5.3075372760074284E-2</v>
      </c>
      <c r="AL163" t="str">
        <f t="shared" si="164"/>
        <v>1-0,00361471654982433i</v>
      </c>
      <c r="AM163">
        <f t="shared" si="185"/>
        <v>1.0000065330665273</v>
      </c>
      <c r="AN163">
        <f t="shared" si="186"/>
        <v>-3.6147008064405287E-3</v>
      </c>
      <c r="AO163" s="58" t="str">
        <f t="shared" si="187"/>
        <v>11,510164343184-9,96517700349482i</v>
      </c>
      <c r="AP163">
        <f t="shared" si="188"/>
        <v>23.650921396558353</v>
      </c>
      <c r="AQ163" s="60">
        <f t="shared" si="189"/>
        <v>-40.885094210017876</v>
      </c>
      <c r="AR163" t="str">
        <f t="shared" si="165"/>
        <v>-1,05811623246493</v>
      </c>
      <c r="AS163" t="str">
        <f t="shared" si="166"/>
        <v>1+0,0523602628311148i</v>
      </c>
      <c r="AT163">
        <f t="shared" si="190"/>
        <v>1.0013698603032466</v>
      </c>
      <c r="AU163">
        <f t="shared" si="191"/>
        <v>5.2312491140306693E-2</v>
      </c>
      <c r="AV163" t="str">
        <f t="shared" si="167"/>
        <v>1+0,0523602628311148i</v>
      </c>
      <c r="AW163">
        <f t="shared" si="192"/>
        <v>1.0013698603032466</v>
      </c>
      <c r="AX163">
        <f t="shared" si="193"/>
        <v>5.2312491140306693E-2</v>
      </c>
      <c r="AY163" t="str">
        <f t="shared" si="168"/>
        <v>1-0,486142430885951i</v>
      </c>
      <c r="AZ163">
        <f t="shared" si="194"/>
        <v>1.1119057797797893</v>
      </c>
      <c r="BA163">
        <f t="shared" si="195"/>
        <v>-0.45250022264262552</v>
      </c>
      <c r="BB163" s="58" t="str">
        <f t="shared" si="196"/>
        <v>-1,02836300766548+0,568240554777545i</v>
      </c>
      <c r="BC163">
        <f t="shared" si="197"/>
        <v>1.4001369796870364</v>
      </c>
      <c r="BD163" s="60">
        <f t="shared" si="198"/>
        <v>151.07636205569241</v>
      </c>
      <c r="BE163" s="58" t="str">
        <f t="shared" si="199"/>
        <v>0,00171158958542561+7,49002629847652i</v>
      </c>
      <c r="BF163" s="37">
        <f t="shared" si="200"/>
        <v>17.489667078140641</v>
      </c>
      <c r="BG163" s="60">
        <f t="shared" si="201"/>
        <v>89.986907007547316</v>
      </c>
      <c r="BH163" s="58" t="str">
        <f t="shared" si="202"/>
        <v>-6,17400951375833+16,7883615671844i</v>
      </c>
      <c r="BI163" s="37">
        <f t="shared" si="203"/>
        <v>25.051058376245386</v>
      </c>
      <c r="BJ163" s="60">
        <f t="shared" si="204"/>
        <v>110.19126784567453</v>
      </c>
      <c r="BK163">
        <f t="shared" si="205"/>
        <v>17.489667078140641</v>
      </c>
      <c r="BL163" s="60">
        <f t="shared" si="206"/>
        <v>89.986907007547316</v>
      </c>
      <c r="BN163">
        <f t="shared" si="207"/>
        <v>0</v>
      </c>
      <c r="BO163">
        <f t="shared" si="208"/>
        <v>0</v>
      </c>
    </row>
    <row r="164" spans="13:67" x14ac:dyDescent="0.25">
      <c r="M164" s="66">
        <v>46</v>
      </c>
      <c r="N164" s="36">
        <f t="shared" si="156"/>
        <v>288.40315031266073</v>
      </c>
      <c r="O164" s="91" t="str">
        <f t="shared" si="157"/>
        <v>13,7404580152672</v>
      </c>
      <c r="P164" s="67" t="str">
        <f t="shared" si="158"/>
        <v>1+1,95705767151593i</v>
      </c>
      <c r="Q164" s="67">
        <f t="shared" si="169"/>
        <v>2.1977430990994726</v>
      </c>
      <c r="R164" s="67">
        <f t="shared" si="170"/>
        <v>1.0984103727462942</v>
      </c>
      <c r="S164" s="67" t="str">
        <f t="shared" si="159"/>
        <v>1+0,0543627130976647i</v>
      </c>
      <c r="T164" s="67">
        <f t="shared" si="171"/>
        <v>1.001476562169749</v>
      </c>
      <c r="U164" s="67">
        <f t="shared" si="172"/>
        <v>5.4309255064976809E-2</v>
      </c>
      <c r="V164" t="str">
        <f t="shared" si="160"/>
        <v>1-0,0113255652286801i</v>
      </c>
      <c r="W164" s="67">
        <f t="shared" si="173"/>
        <v>1.0000641321574077</v>
      </c>
      <c r="X164" s="67">
        <f t="shared" si="174"/>
        <v>-1.1325081028462363E-2</v>
      </c>
      <c r="Y164" t="str">
        <f t="shared" si="161"/>
        <v>0,999994676711865+0,0196517288568487i</v>
      </c>
      <c r="Z164" s="67">
        <f t="shared" si="175"/>
        <v>1.0001877543237223</v>
      </c>
      <c r="AA164" s="67">
        <f t="shared" si="176"/>
        <v>1.9649304244873607E-2</v>
      </c>
      <c r="AB164" s="92" t="str">
        <f t="shared" si="177"/>
        <v>2,97792219945917-5,50692907922262i</v>
      </c>
      <c r="AC164" s="37">
        <f t="shared" si="178"/>
        <v>15.932227851460434</v>
      </c>
      <c r="AD164" s="60">
        <f t="shared" si="179"/>
        <v>-61.59728897720592</v>
      </c>
      <c r="AE164" t="str">
        <f t="shared" si="180"/>
        <v>21,0353732052265</v>
      </c>
      <c r="AF164" t="str">
        <f t="shared" si="162"/>
        <v>1+0,978528835757964i</v>
      </c>
      <c r="AG164">
        <f t="shared" si="181"/>
        <v>1.3991135344959809</v>
      </c>
      <c r="AH164">
        <f t="shared" si="182"/>
        <v>0.77454650379904377</v>
      </c>
      <c r="AI164" t="str">
        <f t="shared" si="163"/>
        <v>1+0,0543627130976647i</v>
      </c>
      <c r="AJ164">
        <f t="shared" si="183"/>
        <v>1.001476562169749</v>
      </c>
      <c r="AK164">
        <f t="shared" si="184"/>
        <v>5.4309255064976809E-2</v>
      </c>
      <c r="AL164" t="str">
        <f t="shared" si="164"/>
        <v>1-0,0036989141145165i</v>
      </c>
      <c r="AM164">
        <f t="shared" si="185"/>
        <v>1.0000068409594141</v>
      </c>
      <c r="AN164">
        <f t="shared" si="186"/>
        <v>-3.6988972451830601E-3</v>
      </c>
      <c r="AO164" s="58" t="str">
        <f t="shared" si="187"/>
        <v>11,280838683315-9,97289402355252i</v>
      </c>
      <c r="AP164">
        <f t="shared" si="188"/>
        <v>23.554820491777278</v>
      </c>
      <c r="AQ164" s="60">
        <f t="shared" si="189"/>
        <v>-41.478485801577655</v>
      </c>
      <c r="AR164" t="str">
        <f t="shared" si="165"/>
        <v>-1,05811623246493</v>
      </c>
      <c r="AS164" t="str">
        <f t="shared" si="166"/>
        <v>1+0,0535798900290583i</v>
      </c>
      <c r="AT164">
        <f t="shared" si="190"/>
        <v>1.0014343735939595</v>
      </c>
      <c r="AU164">
        <f t="shared" si="191"/>
        <v>5.3528705699102869E-2</v>
      </c>
      <c r="AV164" t="str">
        <f t="shared" si="167"/>
        <v>1+0,0535798900290583i</v>
      </c>
      <c r="AW164">
        <f t="shared" si="192"/>
        <v>1.0014343735939595</v>
      </c>
      <c r="AX164">
        <f t="shared" si="193"/>
        <v>5.3528705699102869E-2</v>
      </c>
      <c r="AY164" t="str">
        <f t="shared" si="168"/>
        <v>1-0,475076478147689i</v>
      </c>
      <c r="AZ164">
        <f t="shared" si="194"/>
        <v>1.1071123068998969</v>
      </c>
      <c r="BA164">
        <f t="shared" si="195"/>
        <v>-0.44351073387480794</v>
      </c>
      <c r="BB164" s="58" t="str">
        <f t="shared" si="196"/>
        <v>-1,02823051581882+0,557778611152434i</v>
      </c>
      <c r="BC164">
        <f t="shared" si="197"/>
        <v>1.3620512243430367</v>
      </c>
      <c r="BD164" s="60">
        <f t="shared" si="198"/>
        <v>151.52173786086718</v>
      </c>
      <c r="BE164" s="58" t="str">
        <f t="shared" si="199"/>
        <v>0,00965677430552736+7,32341383624107i</v>
      </c>
      <c r="BF164" s="37">
        <f t="shared" si="200"/>
        <v>17.29427907580347</v>
      </c>
      <c r="BG164" s="60">
        <f t="shared" si="201"/>
        <v>89.924448883661285</v>
      </c>
      <c r="BH164" s="58" t="str">
        <f t="shared" si="202"/>
        <v>-6,03663560058635+16,5466444994579i</v>
      </c>
      <c r="BI164" s="37">
        <f t="shared" si="203"/>
        <v>24.916871716120301</v>
      </c>
      <c r="BJ164" s="60">
        <f t="shared" si="204"/>
        <v>110.04325205928959</v>
      </c>
      <c r="BK164">
        <f t="shared" si="205"/>
        <v>17.29427907580347</v>
      </c>
      <c r="BL164" s="60">
        <f t="shared" si="206"/>
        <v>89.924448883661285</v>
      </c>
      <c r="BN164">
        <f t="shared" si="207"/>
        <v>0</v>
      </c>
      <c r="BO164">
        <f t="shared" si="208"/>
        <v>0</v>
      </c>
    </row>
    <row r="165" spans="13:67" x14ac:dyDescent="0.25">
      <c r="M165" s="66">
        <v>47</v>
      </c>
      <c r="N165" s="36">
        <f t="shared" si="156"/>
        <v>295.12092266663871</v>
      </c>
      <c r="O165" s="91" t="str">
        <f t="shared" si="157"/>
        <v>13,7404580152672</v>
      </c>
      <c r="P165" s="67" t="str">
        <f t="shared" si="158"/>
        <v>1+2,00264340075153i</v>
      </c>
      <c r="Q165" s="67">
        <f t="shared" si="169"/>
        <v>2.2384326191720967</v>
      </c>
      <c r="R165" s="67">
        <f t="shared" si="170"/>
        <v>1.1076768394803398</v>
      </c>
      <c r="S165" s="67" t="str">
        <f t="shared" si="159"/>
        <v>1+0,0556289833542094i</v>
      </c>
      <c r="T165" s="67">
        <f t="shared" si="171"/>
        <v>1.0015460966870287</v>
      </c>
      <c r="U165" s="67">
        <f t="shared" si="172"/>
        <v>5.5571706814857791E-2</v>
      </c>
      <c r="V165" t="str">
        <f t="shared" si="160"/>
        <v>1-0,0115893715321269i</v>
      </c>
      <c r="W165" s="67">
        <f t="shared" si="173"/>
        <v>1.0000671545113906</v>
      </c>
      <c r="X165" s="67">
        <f t="shared" si="174"/>
        <v>-1.1588852704127614E-2</v>
      </c>
      <c r="Y165" t="str">
        <f t="shared" si="161"/>
        <v>0,999994425833024+0,0201094764254148i</v>
      </c>
      <c r="Z165" s="67">
        <f t="shared" si="175"/>
        <v>1.0001966020434301</v>
      </c>
      <c r="AA165" s="67">
        <f t="shared" si="176"/>
        <v>2.010687843445038E-2</v>
      </c>
      <c r="AB165" s="92" t="str">
        <f t="shared" si="177"/>
        <v>2,87668623530319-5,43247637850714i</v>
      </c>
      <c r="AC165" s="37">
        <f t="shared" si="178"/>
        <v>15.773438307171791</v>
      </c>
      <c r="AD165" s="60">
        <f t="shared" si="179"/>
        <v>-62.097215328605621</v>
      </c>
      <c r="AE165" t="str">
        <f t="shared" si="180"/>
        <v>21,0353732052265</v>
      </c>
      <c r="AF165" t="str">
        <f t="shared" si="162"/>
        <v>1+1,00132170037577i</v>
      </c>
      <c r="AG165">
        <f t="shared" si="181"/>
        <v>1.4151484542772972</v>
      </c>
      <c r="AH165">
        <f t="shared" si="182"/>
        <v>0.786058577054768</v>
      </c>
      <c r="AI165" t="str">
        <f t="shared" si="163"/>
        <v>1+0,0556289833542094i</v>
      </c>
      <c r="AJ165">
        <f t="shared" si="183"/>
        <v>1.0015460966870287</v>
      </c>
      <c r="AK165">
        <f t="shared" si="184"/>
        <v>5.5571706814857791E-2</v>
      </c>
      <c r="AL165" t="str">
        <f t="shared" si="164"/>
        <v>1-0,0037850728924331i</v>
      </c>
      <c r="AM165">
        <f t="shared" si="185"/>
        <v>1.0000071633627436</v>
      </c>
      <c r="AN165">
        <f t="shared" si="186"/>
        <v>-3.7850548166236454E-3</v>
      </c>
      <c r="AO165" s="58" t="str">
        <f t="shared" si="187"/>
        <v>11,0512837621793-9,97533424309869i</v>
      </c>
      <c r="AP165">
        <f t="shared" si="188"/>
        <v>23.456445479305941</v>
      </c>
      <c r="AQ165" s="60">
        <f t="shared" si="189"/>
        <v>-42.070682320685641</v>
      </c>
      <c r="AR165" t="str">
        <f t="shared" si="165"/>
        <v>-1,05811623246493</v>
      </c>
      <c r="AS165" t="str">
        <f t="shared" si="166"/>
        <v>1+0,0548279259939087i</v>
      </c>
      <c r="AT165">
        <f t="shared" si="190"/>
        <v>1.0015019228482755</v>
      </c>
      <c r="AU165">
        <f t="shared" si="191"/>
        <v>5.4773085437457861E-2</v>
      </c>
      <c r="AV165" t="str">
        <f t="shared" si="167"/>
        <v>1+0,0548279259939087i</v>
      </c>
      <c r="AW165">
        <f t="shared" si="192"/>
        <v>1.0015019228482755</v>
      </c>
      <c r="AX165">
        <f t="shared" si="193"/>
        <v>5.4773085437457861E-2</v>
      </c>
      <c r="AY165" t="str">
        <f t="shared" si="168"/>
        <v>1-0,464262417246522i</v>
      </c>
      <c r="AZ165">
        <f t="shared" si="194"/>
        <v>1.1025151210153916</v>
      </c>
      <c r="BA165">
        <f t="shared" si="195"/>
        <v>-0.43465104931372206</v>
      </c>
      <c r="BB165" s="58" t="str">
        <f t="shared" si="196"/>
        <v>-1,02809181641009+0,547611741837027i</v>
      </c>
      <c r="BC165">
        <f t="shared" si="197"/>
        <v>1.325322879751957</v>
      </c>
      <c r="BD165" s="60">
        <f t="shared" si="198"/>
        <v>151.95806268691521</v>
      </c>
      <c r="BE165" s="58" t="str">
        <f t="shared" si="199"/>
        <v>0,0173902752280388+7,16039166761729i</v>
      </c>
      <c r="BF165" s="37">
        <f t="shared" si="200"/>
        <v>17.098761186923742</v>
      </c>
      <c r="BG165" s="60">
        <f t="shared" si="201"/>
        <v>89.860847358309599</v>
      </c>
      <c r="BH165" s="58" t="str">
        <f t="shared" si="202"/>
        <v>-5,89912423645244+16,3073722518274i</v>
      </c>
      <c r="BI165" s="37">
        <f t="shared" si="203"/>
        <v>24.781768359057917</v>
      </c>
      <c r="BJ165" s="60">
        <f t="shared" si="204"/>
        <v>109.88738036622954</v>
      </c>
      <c r="BK165">
        <f t="shared" si="205"/>
        <v>17.098761186923742</v>
      </c>
      <c r="BL165" s="60">
        <f t="shared" si="206"/>
        <v>89.860847358309599</v>
      </c>
      <c r="BN165">
        <f t="shared" si="207"/>
        <v>0</v>
      </c>
      <c r="BO165">
        <f t="shared" si="208"/>
        <v>0</v>
      </c>
    </row>
    <row r="166" spans="13:67" x14ac:dyDescent="0.25">
      <c r="M166" s="66">
        <v>48</v>
      </c>
      <c r="N166" s="36">
        <f t="shared" si="156"/>
        <v>301.99517204020168</v>
      </c>
      <c r="O166" s="91" t="str">
        <f t="shared" si="157"/>
        <v>13,7404580152672</v>
      </c>
      <c r="P166" s="67" t="str">
        <f t="shared" si="158"/>
        <v>1+2,04929095802634i</v>
      </c>
      <c r="Q166" s="67">
        <f t="shared" si="169"/>
        <v>2.2802617022281706</v>
      </c>
      <c r="R166" s="67">
        <f t="shared" si="170"/>
        <v>1.1168159984833488</v>
      </c>
      <c r="S166" s="67" t="str">
        <f t="shared" si="159"/>
        <v>1+0,0569247488340652i</v>
      </c>
      <c r="T166" s="67">
        <f t="shared" si="171"/>
        <v>1.0016189030913012</v>
      </c>
      <c r="U166" s="67">
        <f t="shared" si="172"/>
        <v>5.6863381272619064E-2</v>
      </c>
      <c r="V166" t="str">
        <f t="shared" si="160"/>
        <v>1-0,0118593226737636i</v>
      </c>
      <c r="W166" s="67">
        <f t="shared" si="173"/>
        <v>1.0000703192947387</v>
      </c>
      <c r="X166" s="67">
        <f t="shared" si="174"/>
        <v>-1.1858766741657464E-2</v>
      </c>
      <c r="Y166" t="str">
        <f t="shared" si="161"/>
        <v>0,999994163130628+0,0205778863045619i</v>
      </c>
      <c r="Z166" s="67">
        <f t="shared" si="175"/>
        <v>1.0002058666595037</v>
      </c>
      <c r="AA166" s="67">
        <f t="shared" si="176"/>
        <v>2.057510253802709E-2</v>
      </c>
      <c r="AB166" s="92" t="str">
        <f t="shared" si="177"/>
        <v>2,7782122306941-5,35722809907324i</v>
      </c>
      <c r="AC166" s="37">
        <f t="shared" si="178"/>
        <v>15.613203381927343</v>
      </c>
      <c r="AD166" s="60">
        <f t="shared" si="179"/>
        <v>-62.589135273025391</v>
      </c>
      <c r="AE166" t="str">
        <f t="shared" si="180"/>
        <v>21,0353732052265</v>
      </c>
      <c r="AF166" t="str">
        <f t="shared" si="162"/>
        <v>1+1,02464547901317i</v>
      </c>
      <c r="AG166">
        <f t="shared" si="181"/>
        <v>1.4317466108435979</v>
      </c>
      <c r="AH166">
        <f t="shared" si="182"/>
        <v>0.7975703002436394</v>
      </c>
      <c r="AI166" t="str">
        <f t="shared" si="163"/>
        <v>1+0,0569247488340652i</v>
      </c>
      <c r="AJ166">
        <f t="shared" si="183"/>
        <v>1.0016189030913012</v>
      </c>
      <c r="AK166">
        <f t="shared" si="184"/>
        <v>5.6863381272619064E-2</v>
      </c>
      <c r="AL166" t="str">
        <f t="shared" si="164"/>
        <v>1-0,00387323856609864i</v>
      </c>
      <c r="AM166">
        <f t="shared" si="185"/>
        <v>1.0000075009603628</v>
      </c>
      <c r="AN166">
        <f t="shared" si="186"/>
        <v>-3.873219197527698E-3</v>
      </c>
      <c r="AO166" s="58" t="str">
        <f t="shared" si="187"/>
        <v>10,8217428011349-9,97249151863859i</v>
      </c>
      <c r="AP166">
        <f t="shared" si="188"/>
        <v>23.355796552665243</v>
      </c>
      <c r="AQ166" s="60">
        <f t="shared" si="189"/>
        <v>-42.661299426325435</v>
      </c>
      <c r="AR166" t="str">
        <f t="shared" si="165"/>
        <v>-1,05811623246493</v>
      </c>
      <c r="AS166" t="str">
        <f t="shared" si="166"/>
        <v>1+0,0561050324508546i</v>
      </c>
      <c r="AT166">
        <f t="shared" si="190"/>
        <v>1.0015726507180154</v>
      </c>
      <c r="AU166">
        <f t="shared" si="191"/>
        <v>5.60462747180576E-2</v>
      </c>
      <c r="AV166" t="str">
        <f t="shared" si="167"/>
        <v>1+0,0561050324508546i</v>
      </c>
      <c r="AW166">
        <f t="shared" si="192"/>
        <v>1.0015726507180154</v>
      </c>
      <c r="AX166">
        <f t="shared" si="193"/>
        <v>5.60462747180576E-2</v>
      </c>
      <c r="AY166" t="str">
        <f t="shared" si="168"/>
        <v>1-0,453694514424218i</v>
      </c>
      <c r="AZ166">
        <f t="shared" si="194"/>
        <v>1.098106876591995</v>
      </c>
      <c r="BA166">
        <f t="shared" si="195"/>
        <v>-0.42592203590639066</v>
      </c>
      <c r="BB166" s="58" t="str">
        <f t="shared" si="196"/>
        <v>-1,02794662039945+0,537734508787816i</v>
      </c>
      <c r="BC166">
        <f t="shared" si="197"/>
        <v>1.2899106215407286</v>
      </c>
      <c r="BD166" s="60">
        <f t="shared" si="198"/>
        <v>152.38524994216897</v>
      </c>
      <c r="BE166" s="58" t="str">
        <f t="shared" si="199"/>
        <v>0,0249125470250169+7,0008851083319i</v>
      </c>
      <c r="BF166" s="37">
        <f t="shared" si="200"/>
        <v>16.903114003468069</v>
      </c>
      <c r="BG166" s="60">
        <f t="shared" si="201"/>
        <v>89.796114669143577</v>
      </c>
      <c r="BH166" s="58" t="str">
        <f t="shared" si="202"/>
        <v>-5,76162111109291+16,0704135029431i</v>
      </c>
      <c r="BI166" s="37">
        <f t="shared" si="203"/>
        <v>24.645707174205977</v>
      </c>
      <c r="BJ166" s="60">
        <f t="shared" si="204"/>
        <v>109.7239505158435</v>
      </c>
      <c r="BK166">
        <f t="shared" si="205"/>
        <v>16.903114003468069</v>
      </c>
      <c r="BL166" s="60">
        <f t="shared" si="206"/>
        <v>89.796114669143577</v>
      </c>
      <c r="BN166">
        <f t="shared" si="207"/>
        <v>0</v>
      </c>
      <c r="BO166">
        <f t="shared" si="208"/>
        <v>0</v>
      </c>
    </row>
    <row r="167" spans="13:67" x14ac:dyDescent="0.25">
      <c r="M167" s="66">
        <v>49</v>
      </c>
      <c r="N167" s="36">
        <f t="shared" si="156"/>
        <v>309.02954325135937</v>
      </c>
      <c r="O167" s="91" t="str">
        <f t="shared" si="157"/>
        <v>13,7404580152672</v>
      </c>
      <c r="P167" s="67" t="str">
        <f t="shared" si="158"/>
        <v>1+2,09702507649267i</v>
      </c>
      <c r="Q167" s="67">
        <f t="shared" si="169"/>
        <v>2.3232550810100658</v>
      </c>
      <c r="R167" s="67">
        <f t="shared" si="170"/>
        <v>1.1258265877719797</v>
      </c>
      <c r="S167" s="67" t="str">
        <f t="shared" si="159"/>
        <v>1+0,0582506965692409i</v>
      </c>
      <c r="T167" s="67">
        <f t="shared" si="171"/>
        <v>1.0016951350839245</v>
      </c>
      <c r="U167" s="67">
        <f t="shared" si="172"/>
        <v>5.8184946050920595E-2</v>
      </c>
      <c r="V167" t="str">
        <f t="shared" si="160"/>
        <v>1-0,0121355617852585i</v>
      </c>
      <c r="W167" s="67">
        <f t="shared" si="173"/>
        <v>1.0000736332189966</v>
      </c>
      <c r="X167" s="67">
        <f t="shared" si="174"/>
        <v>-1.213496609564315E-2</v>
      </c>
      <c r="Y167" t="str">
        <f t="shared" si="161"/>
        <v>0,999993888047449+0,0210572068514083i</v>
      </c>
      <c r="Z167" s="67">
        <f t="shared" si="175"/>
        <v>1.0002155678115778</v>
      </c>
      <c r="AA167" s="67">
        <f t="shared" si="176"/>
        <v>2.1054224026537505E-2</v>
      </c>
      <c r="AB167" s="92" t="str">
        <f t="shared" si="177"/>
        <v>2,6824887740882-5,28129553095144i</v>
      </c>
      <c r="AC167" s="37">
        <f t="shared" si="178"/>
        <v>15.451564917258235</v>
      </c>
      <c r="AD167" s="60">
        <f t="shared" si="179"/>
        <v>-63.072960622493248</v>
      </c>
      <c r="AE167" t="str">
        <f t="shared" si="180"/>
        <v>21,0353732052265</v>
      </c>
      <c r="AF167" t="str">
        <f t="shared" si="162"/>
        <v>1+1,04851253824634i</v>
      </c>
      <c r="AG167">
        <f t="shared" si="181"/>
        <v>1.448923235668399</v>
      </c>
      <c r="AH167">
        <f t="shared" si="182"/>
        <v>0.80907557386283147</v>
      </c>
      <c r="AI167" t="str">
        <f t="shared" si="163"/>
        <v>1+0,0582506965692409i</v>
      </c>
      <c r="AJ167">
        <f t="shared" si="183"/>
        <v>1.0016951350839245</v>
      </c>
      <c r="AK167">
        <f t="shared" si="184"/>
        <v>5.8184946050920595E-2</v>
      </c>
      <c r="AL167" t="str">
        <f t="shared" si="164"/>
        <v>1-0,00396345788212029i</v>
      </c>
      <c r="AM167">
        <f t="shared" si="185"/>
        <v>1.0000078544683453</v>
      </c>
      <c r="AN167">
        <f t="shared" si="186"/>
        <v>-3.9634371283314151E-3</v>
      </c>
      <c r="AO167" s="58" t="str">
        <f t="shared" si="187"/>
        <v>10,5924589623957-9,96437370686695i</v>
      </c>
      <c r="AP167">
        <f t="shared" si="188"/>
        <v>23.252876404512985</v>
      </c>
      <c r="AQ167" s="60">
        <f t="shared" si="189"/>
        <v>-43.249952069370131</v>
      </c>
      <c r="AR167" t="str">
        <f t="shared" si="165"/>
        <v>-1,05811623246493</v>
      </c>
      <c r="AS167" t="str">
        <f t="shared" si="166"/>
        <v>1+0,0574118865386438i</v>
      </c>
      <c r="AT167">
        <f t="shared" si="190"/>
        <v>1.001646706536754</v>
      </c>
      <c r="AU167">
        <f t="shared" si="191"/>
        <v>5.7348932082529482E-2</v>
      </c>
      <c r="AV167" t="str">
        <f t="shared" si="167"/>
        <v>1+0,0574118865386438i</v>
      </c>
      <c r="AW167">
        <f t="shared" si="192"/>
        <v>1.001646706536754</v>
      </c>
      <c r="AX167">
        <f t="shared" si="193"/>
        <v>5.7348932082529482E-2</v>
      </c>
      <c r="AY167" t="str">
        <f t="shared" si="168"/>
        <v>1-0,443367166438819i</v>
      </c>
      <c r="AZ167">
        <f t="shared" si="194"/>
        <v>1.0938804524608652</v>
      </c>
      <c r="BA167">
        <f t="shared" si="195"/>
        <v>-0.41732438734762478</v>
      </c>
      <c r="BB167" s="58" t="str">
        <f t="shared" si="196"/>
        <v>-1,02779462546158+0,528141624172923i</v>
      </c>
      <c r="BC167">
        <f t="shared" si="197"/>
        <v>1.255773422587974</v>
      </c>
      <c r="BD167" s="60">
        <f t="shared" si="198"/>
        <v>152.80322214918701</v>
      </c>
      <c r="BE167" s="58" t="str">
        <f t="shared" si="199"/>
        <v>0,0322244545850192+6,84482114015873i</v>
      </c>
      <c r="BF167" s="37">
        <f t="shared" si="200"/>
        <v>16.707338339846213</v>
      </c>
      <c r="BG167" s="60">
        <f t="shared" si="201"/>
        <v>89.730261526693752</v>
      </c>
      <c r="BH167" s="58" t="str">
        <f t="shared" si="202"/>
        <v>-5,62427187856196+15,8356482223932i</v>
      </c>
      <c r="BI167" s="37">
        <f t="shared" si="203"/>
        <v>24.508649827100943</v>
      </c>
      <c r="BJ167" s="60">
        <f t="shared" si="204"/>
        <v>109.5532700798169</v>
      </c>
      <c r="BK167">
        <f t="shared" si="205"/>
        <v>16.707338339846213</v>
      </c>
      <c r="BL167" s="60">
        <f t="shared" si="206"/>
        <v>89.730261526693752</v>
      </c>
      <c r="BN167">
        <f t="shared" si="207"/>
        <v>0</v>
      </c>
      <c r="BO167">
        <f t="shared" si="208"/>
        <v>0</v>
      </c>
    </row>
    <row r="168" spans="13:67" x14ac:dyDescent="0.25">
      <c r="M168" s="66">
        <v>50</v>
      </c>
      <c r="N168" s="36">
        <f t="shared" si="156"/>
        <v>316.22776601683825</v>
      </c>
      <c r="O168" s="91" t="str">
        <f t="shared" si="157"/>
        <v>13,7404580152672</v>
      </c>
      <c r="P168" s="67" t="str">
        <f t="shared" si="158"/>
        <v>1+2,14587106541196i</v>
      </c>
      <c r="Q168" s="67">
        <f t="shared" si="169"/>
        <v>2.3674379884956349</v>
      </c>
      <c r="R168" s="67">
        <f t="shared" si="170"/>
        <v>1.1347075312848038</v>
      </c>
      <c r="S168" s="67" t="str">
        <f t="shared" si="159"/>
        <v>1+0,0596075295947767i</v>
      </c>
      <c r="T168" s="67">
        <f t="shared" si="171"/>
        <v>1.0017749535621223</v>
      </c>
      <c r="U168" s="67">
        <f t="shared" si="172"/>
        <v>5.9537083385197025E-2</v>
      </c>
      <c r="V168" t="str">
        <f t="shared" si="160"/>
        <v>1-0,0124182353322451i</v>
      </c>
      <c r="W168" s="67">
        <f t="shared" si="173"/>
        <v>1.0000771033119231</v>
      </c>
      <c r="X168" s="67">
        <f t="shared" si="174"/>
        <v>-1.2417597041980108E-2</v>
      </c>
      <c r="Y168" t="str">
        <f t="shared" si="161"/>
        <v>0,9999936+0,0215476922080524i</v>
      </c>
      <c r="Z168" s="67">
        <f t="shared" si="175"/>
        <v>1.0002257260640985</v>
      </c>
      <c r="AA168" s="67">
        <f t="shared" si="176"/>
        <v>2.154449609256617E-2</v>
      </c>
      <c r="AB168" s="92" t="str">
        <f t="shared" si="177"/>
        <v>2,58949941253593-5,20478672173275i</v>
      </c>
      <c r="AC168" s="37">
        <f t="shared" si="178"/>
        <v>15.288564605635859</v>
      </c>
      <c r="AD168" s="60">
        <f t="shared" si="179"/>
        <v>-63.548613521877513</v>
      </c>
      <c r="AE168" t="str">
        <f t="shared" si="180"/>
        <v>21,0353732052265</v>
      </c>
      <c r="AF168" t="str">
        <f t="shared" si="162"/>
        <v>1+1,07293553270598i</v>
      </c>
      <c r="AG168">
        <f t="shared" si="181"/>
        <v>1.4666937844495918</v>
      </c>
      <c r="AH168">
        <f t="shared" si="182"/>
        <v>0.82056831548020737</v>
      </c>
      <c r="AI168" t="str">
        <f t="shared" si="163"/>
        <v>1+0,0596075295947767i</v>
      </c>
      <c r="AJ168">
        <f t="shared" si="183"/>
        <v>1.0017749535621223</v>
      </c>
      <c r="AK168">
        <f t="shared" si="184"/>
        <v>5.9537083385197025E-2</v>
      </c>
      <c r="AL168" t="str">
        <f t="shared" si="164"/>
        <v>1-0,00405577867597361i</v>
      </c>
      <c r="AM168">
        <f t="shared" si="185"/>
        <v>1.0000082246365118</v>
      </c>
      <c r="AN168">
        <f t="shared" si="186"/>
        <v>-4.0557564378980518E-3</v>
      </c>
      <c r="AO168" s="58" t="str">
        <f t="shared" si="187"/>
        <v>10,3636743198051-9,95100261433058i</v>
      </c>
      <c r="AP168">
        <f t="shared" si="188"/>
        <v>23.14769022360613</v>
      </c>
      <c r="AQ168" s="60">
        <f t="shared" si="189"/>
        <v>-43.836255403309714</v>
      </c>
      <c r="AR168" t="str">
        <f t="shared" si="165"/>
        <v>-1,05811623246493</v>
      </c>
      <c r="AS168" t="str">
        <f t="shared" si="166"/>
        <v>1+0,0587491811686118i</v>
      </c>
      <c r="AT168">
        <f t="shared" si="190"/>
        <v>1.0017242466307692</v>
      </c>
      <c r="AU168">
        <f t="shared" si="191"/>
        <v>5.868173052303826E-2</v>
      </c>
      <c r="AV168" t="str">
        <f t="shared" si="167"/>
        <v>1+0,0587491811686118i</v>
      </c>
      <c r="AW168">
        <f t="shared" si="192"/>
        <v>1.0017242466307692</v>
      </c>
      <c r="AX168">
        <f t="shared" si="193"/>
        <v>5.868173052303826E-2</v>
      </c>
      <c r="AY168" t="str">
        <f t="shared" si="168"/>
        <v>1-0,433274897593724i</v>
      </c>
      <c r="AZ168">
        <f t="shared" si="194"/>
        <v>1.0898289484523946</v>
      </c>
      <c r="BA168">
        <f t="shared" si="195"/>
        <v>-0.40885863036641779</v>
      </c>
      <c r="BB168" s="58" t="str">
        <f t="shared" si="196"/>
        <v>-1,02763551539175+0,51882794733255i</v>
      </c>
      <c r="BC168">
        <f t="shared" si="197"/>
        <v>1.2228706114728367</v>
      </c>
      <c r="BD168" s="60">
        <f t="shared" si="198"/>
        <v>153.21191056901074</v>
      </c>
      <c r="BE168" s="58" t="str">
        <f t="shared" si="199"/>
        <v>0,039327247732321+6,69212835011683i</v>
      </c>
      <c r="BF168" s="37">
        <f t="shared" si="200"/>
        <v>16.511435217108691</v>
      </c>
      <c r="BG168" s="60">
        <f t="shared" si="201"/>
        <v>89.663297047133227</v>
      </c>
      <c r="BH168" s="58" t="str">
        <f t="shared" si="202"/>
        <v>-5,48722154069118+15,6029675744098i</v>
      </c>
      <c r="BI168" s="37">
        <f t="shared" si="203"/>
        <v>24.370560835078969</v>
      </c>
      <c r="BJ168" s="60">
        <f t="shared" si="204"/>
        <v>109.37565516570102</v>
      </c>
      <c r="BK168">
        <f t="shared" si="205"/>
        <v>16.511435217108691</v>
      </c>
      <c r="BL168" s="60">
        <f t="shared" si="206"/>
        <v>89.663297047133227</v>
      </c>
      <c r="BN168">
        <f t="shared" si="207"/>
        <v>0</v>
      </c>
      <c r="BO168">
        <f t="shared" si="208"/>
        <v>0</v>
      </c>
    </row>
    <row r="169" spans="13:67" x14ac:dyDescent="0.25">
      <c r="M169" s="66">
        <v>51</v>
      </c>
      <c r="N169" s="36">
        <f t="shared" si="156"/>
        <v>323.59365692962825</v>
      </c>
      <c r="O169" s="91" t="str">
        <f t="shared" si="157"/>
        <v>13,7404580152672</v>
      </c>
      <c r="P169" s="67" t="str">
        <f t="shared" si="158"/>
        <v>1+2,19585482357409i</v>
      </c>
      <c r="Q169" s="67">
        <f t="shared" si="169"/>
        <v>2.4128361747565039</v>
      </c>
      <c r="R169" s="67">
        <f t="shared" si="170"/>
        <v>1.1434579332048589</v>
      </c>
      <c r="S169" s="67" t="str">
        <f t="shared" si="159"/>
        <v>1+0,0609959673215026i</v>
      </c>
      <c r="T169" s="67">
        <f t="shared" si="171"/>
        <v>1.0018585269535243</v>
      </c>
      <c r="U169" s="67">
        <f t="shared" si="172"/>
        <v>6.0920490408744823E-2</v>
      </c>
      <c r="V169" t="str">
        <f t="shared" si="160"/>
        <v>1-0,0127074931919797i</v>
      </c>
      <c r="W169" s="67">
        <f t="shared" si="173"/>
        <v>1.0000807369323859</v>
      </c>
      <c r="X169" s="67">
        <f t="shared" si="174"/>
        <v>-1.270680925462047E-2</v>
      </c>
      <c r="Y169" t="str">
        <f t="shared" si="161"/>
        <v>0,999993298377292+0,0220496024363226i</v>
      </c>
      <c r="Z169" s="67">
        <f t="shared" si="175"/>
        <v>1.0002363629498259</v>
      </c>
      <c r="AA169" s="67">
        <f t="shared" si="176"/>
        <v>2.2046177780575289E-2</v>
      </c>
      <c r="AB169" s="92" t="str">
        <f t="shared" si="177"/>
        <v>2,4992229868584-5,12780627799367i</v>
      </c>
      <c r="AC169" s="37">
        <f t="shared" si="178"/>
        <v>15.124243921240343</v>
      </c>
      <c r="AD169" s="60">
        <f t="shared" si="179"/>
        <v>-64.016026119691631</v>
      </c>
      <c r="AE169" t="str">
        <f t="shared" si="180"/>
        <v>21,0353732052265</v>
      </c>
      <c r="AF169" t="str">
        <f t="shared" si="162"/>
        <v>1+1,09792741178705i</v>
      </c>
      <c r="AG169">
        <f t="shared" si="181"/>
        <v>1.4850739380762865</v>
      </c>
      <c r="AH169">
        <f t="shared" si="182"/>
        <v>0.83204247576776313</v>
      </c>
      <c r="AI169" t="str">
        <f t="shared" si="163"/>
        <v>1+0,0609959673215026i</v>
      </c>
      <c r="AJ169">
        <f t="shared" si="183"/>
        <v>1.0018585269535243</v>
      </c>
      <c r="AK169">
        <f t="shared" si="184"/>
        <v>6.0920490408744823E-2</v>
      </c>
      <c r="AL169" t="str">
        <f t="shared" si="164"/>
        <v>1-0,00415024989736551i</v>
      </c>
      <c r="AM169">
        <f t="shared" si="185"/>
        <v>1.0000086122500198</v>
      </c>
      <c r="AN169">
        <f t="shared" si="186"/>
        <v>-4.1502260688493211E-3</v>
      </c>
      <c r="AO169" s="58" t="str">
        <f t="shared" si="187"/>
        <v>10,1356288393826-9,93241385732199i</v>
      </c>
      <c r="AP169">
        <f t="shared" si="188"/>
        <v>23.040245681602709</v>
      </c>
      <c r="AQ169" s="60">
        <f t="shared" si="189"/>
        <v>-44.419825688590954</v>
      </c>
      <c r="AR169" t="str">
        <f t="shared" si="165"/>
        <v>-1,05811623246493</v>
      </c>
      <c r="AS169" t="str">
        <f t="shared" si="166"/>
        <v>1+0,0601176253920729i</v>
      </c>
      <c r="AT169">
        <f t="shared" si="190"/>
        <v>1.0018054346442635</v>
      </c>
      <c r="AU169">
        <f t="shared" si="191"/>
        <v>6.0045357756096249E-2</v>
      </c>
      <c r="AV169" t="str">
        <f t="shared" si="167"/>
        <v>1+0,0601176253920729i</v>
      </c>
      <c r="AW169">
        <f t="shared" si="192"/>
        <v>1.0018054346442635</v>
      </c>
      <c r="AX169">
        <f t="shared" si="193"/>
        <v>6.0045357756096249E-2</v>
      </c>
      <c r="AY169" t="str">
        <f t="shared" si="168"/>
        <v>1-0,423412356834405i</v>
      </c>
      <c r="AZ169">
        <f t="shared" si="194"/>
        <v>1.0859456818460422</v>
      </c>
      <c r="BA169">
        <f t="shared" si="195"/>
        <v>-0.40052513121613137</v>
      </c>
      <c r="BB169" s="58" t="str">
        <f t="shared" si="196"/>
        <v>-1,02746895948682+0,509788481801128i</v>
      </c>
      <c r="BC169">
        <f t="shared" si="197"/>
        <v>1.1911619258751946</v>
      </c>
      <c r="BD169" s="60">
        <f t="shared" si="198"/>
        <v>153.61125481361483</v>
      </c>
      <c r="BE169" s="58" t="str">
        <f t="shared" si="199"/>
        <v>0,0462225355957435+6,54273687305316i</v>
      </c>
      <c r="BF169" s="37">
        <f t="shared" si="200"/>
        <v>16.315405847115532</v>
      </c>
      <c r="BG169" s="60">
        <f t="shared" si="201"/>
        <v>89.595228693923204</v>
      </c>
      <c r="BH169" s="58" t="str">
        <f t="shared" si="202"/>
        <v>-5,35061383640038+15,3722737693037i</v>
      </c>
      <c r="BI169" s="37">
        <f t="shared" si="203"/>
        <v>24.231407607477912</v>
      </c>
      <c r="BJ169" s="60">
        <f t="shared" si="204"/>
        <v>109.19142912502386</v>
      </c>
      <c r="BK169">
        <f t="shared" si="205"/>
        <v>16.315405847115532</v>
      </c>
      <c r="BL169" s="60">
        <f t="shared" si="206"/>
        <v>89.595228693923204</v>
      </c>
      <c r="BN169">
        <f t="shared" si="207"/>
        <v>0</v>
      </c>
      <c r="BO169">
        <f t="shared" si="208"/>
        <v>0</v>
      </c>
    </row>
    <row r="170" spans="13:67" x14ac:dyDescent="0.25">
      <c r="M170" s="66">
        <v>52</v>
      </c>
      <c r="N170" s="36">
        <f t="shared" si="156"/>
        <v>331.13112148259137</v>
      </c>
      <c r="O170" s="91" t="str">
        <f t="shared" si="157"/>
        <v>13,7404580152672</v>
      </c>
      <c r="P170" s="67" t="str">
        <f t="shared" si="158"/>
        <v>1+2,24700285302927i</v>
      </c>
      <c r="Q170" s="67">
        <f t="shared" si="169"/>
        <v>2.4594759241597952</v>
      </c>
      <c r="R170" s="67">
        <f t="shared" si="170"/>
        <v>1.1520770719712419</v>
      </c>
      <c r="S170" s="67" t="str">
        <f t="shared" si="159"/>
        <v>1+0,0624167459174797i</v>
      </c>
      <c r="T170" s="67">
        <f t="shared" si="171"/>
        <v>1.0019460315660356</v>
      </c>
      <c r="U170" s="67">
        <f t="shared" si="172"/>
        <v>6.2335879429633347E-2</v>
      </c>
      <c r="V170" t="str">
        <f t="shared" si="160"/>
        <v>1-0,0130034887328083i</v>
      </c>
      <c r="W170" s="67">
        <f t="shared" si="173"/>
        <v>1.0000845417859554</v>
      </c>
      <c r="X170" s="67">
        <f t="shared" si="174"/>
        <v>-1.3002755884070199E-2</v>
      </c>
      <c r="Y170" t="str">
        <f t="shared" si="161"/>
        <v>0,999992982539545+0,0225632036556656i</v>
      </c>
      <c r="Z170" s="67">
        <f t="shared" si="175"/>
        <v>1.0002475010153946</v>
      </c>
      <c r="AA170" s="67">
        <f t="shared" si="176"/>
        <v>2.2559534119946906E-2</v>
      </c>
      <c r="AB170" s="92" t="str">
        <f t="shared" si="177"/>
        <v>2,41163396866933-5,05045519720694i</v>
      </c>
      <c r="AC170" s="37">
        <f t="shared" si="178"/>
        <v>14.958644055798768</v>
      </c>
      <c r="AD170" s="60">
        <f t="shared" si="179"/>
        <v>-64.475140221237837</v>
      </c>
      <c r="AE170" t="str">
        <f t="shared" si="180"/>
        <v>21,0353732052265</v>
      </c>
      <c r="AF170" t="str">
        <f t="shared" si="162"/>
        <v>1+1,12350142651463i</v>
      </c>
      <c r="AG170">
        <f t="shared" si="181"/>
        <v>1.5040796040703459</v>
      </c>
      <c r="AH170">
        <f t="shared" si="182"/>
        <v>0.84349205432211483</v>
      </c>
      <c r="AI170" t="str">
        <f t="shared" si="163"/>
        <v>1+0,0624167459174797i</v>
      </c>
      <c r="AJ170">
        <f t="shared" si="183"/>
        <v>1.0019460315660356</v>
      </c>
      <c r="AK170">
        <f t="shared" si="184"/>
        <v>6.2335879429633347E-2</v>
      </c>
      <c r="AL170" t="str">
        <f t="shared" si="164"/>
        <v>1-0,00424692163618806i</v>
      </c>
      <c r="AM170">
        <f t="shared" si="185"/>
        <v>1.0000090181310286</v>
      </c>
      <c r="AN170">
        <f t="shared" si="186"/>
        <v>-4.2468961034853852E-3</v>
      </c>
      <c r="AO170" s="58" t="str">
        <f t="shared" si="187"/>
        <v>9,90855937874044-9,90865663368038i</v>
      </c>
      <c r="AP170">
        <f t="shared" si="188"/>
        <v>22.930552909854111</v>
      </c>
      <c r="AQ170" s="60">
        <f t="shared" si="189"/>
        <v>-45.000281184682649</v>
      </c>
      <c r="AR170" t="str">
        <f t="shared" si="165"/>
        <v>-1,05811623246493</v>
      </c>
      <c r="AS170" t="str">
        <f t="shared" si="166"/>
        <v>1+0,0615179447762679i</v>
      </c>
      <c r="AT170">
        <f t="shared" si="190"/>
        <v>1.0018904418794981</v>
      </c>
      <c r="AU170">
        <f t="shared" si="191"/>
        <v>6.1440516498354955E-2</v>
      </c>
      <c r="AV170" t="str">
        <f t="shared" si="167"/>
        <v>1+0,0615179447762679i</v>
      </c>
      <c r="AW170">
        <f t="shared" si="192"/>
        <v>1.0018904418794981</v>
      </c>
      <c r="AX170">
        <f t="shared" si="193"/>
        <v>6.1440516498354955E-2</v>
      </c>
      <c r="AY170" t="str">
        <f t="shared" si="168"/>
        <v>1-0,413774314911203i</v>
      </c>
      <c r="AZ170">
        <f t="shared" si="194"/>
        <v>1.0822241836515369</v>
      </c>
      <c r="BA170">
        <f t="shared" si="195"/>
        <v>-0.39232410232255599</v>
      </c>
      <c r="BB170" s="58" t="str">
        <f t="shared" si="196"/>
        <v>-1,02729461190044+0,501018372388449i</v>
      </c>
      <c r="BC170">
        <f t="shared" si="197"/>
        <v>1.160607560987323</v>
      </c>
      <c r="BD170" s="60">
        <f t="shared" si="198"/>
        <v>154.00120244919918</v>
      </c>
      <c r="BE170" s="58" t="str">
        <f t="shared" si="199"/>
        <v>0,0529122608353272+6,39657833751467i</v>
      </c>
      <c r="BF170" s="37">
        <f t="shared" si="200"/>
        <v>16.119251616786098</v>
      </c>
      <c r="BG170" s="60">
        <f t="shared" si="201"/>
        <v>89.526062227961347</v>
      </c>
      <c r="BH170" s="58" t="str">
        <f t="shared" si="202"/>
        <v>-5,21459064231307+15,1434798636022i</v>
      </c>
      <c r="BI170" s="37">
        <f t="shared" si="203"/>
        <v>24.091160470841416</v>
      </c>
      <c r="BJ170" s="60">
        <f t="shared" si="204"/>
        <v>109.00092126451658</v>
      </c>
      <c r="BK170">
        <f t="shared" si="205"/>
        <v>16.119251616786098</v>
      </c>
      <c r="BL170" s="60">
        <f t="shared" si="206"/>
        <v>89.526062227961347</v>
      </c>
      <c r="BN170">
        <f t="shared" si="207"/>
        <v>0</v>
      </c>
      <c r="BO170">
        <f t="shared" si="208"/>
        <v>0</v>
      </c>
    </row>
    <row r="171" spans="13:67" x14ac:dyDescent="0.25">
      <c r="M171" s="66">
        <v>53</v>
      </c>
      <c r="N171" s="36">
        <f t="shared" si="156"/>
        <v>338.84415613920277</v>
      </c>
      <c r="O171" s="91" t="str">
        <f t="shared" si="157"/>
        <v>13,7404580152672</v>
      </c>
      <c r="P171" s="67" t="str">
        <f t="shared" si="158"/>
        <v>1+2,2993422731397i</v>
      </c>
      <c r="Q171" s="67">
        <f t="shared" si="169"/>
        <v>2.5073840729029215</v>
      </c>
      <c r="R171" s="67">
        <f t="shared" si="170"/>
        <v>1.1605643940305019</v>
      </c>
      <c r="S171" s="67" t="str">
        <f t="shared" si="159"/>
        <v>1+0,0638706186983251i</v>
      </c>
      <c r="T171" s="67">
        <f t="shared" si="171"/>
        <v>1.0020376519537113</v>
      </c>
      <c r="U171" s="67">
        <f t="shared" si="172"/>
        <v>6.3783978209165204E-2</v>
      </c>
      <c r="V171" t="str">
        <f t="shared" si="160"/>
        <v>1-0,0133063788954844i</v>
      </c>
      <c r="W171" s="67">
        <f t="shared" si="173"/>
        <v>1.000088525941234</v>
      </c>
      <c r="X171" s="67">
        <f t="shared" si="174"/>
        <v>-1.3305593637667807E-2</v>
      </c>
      <c r="Y171" t="str">
        <f t="shared" si="161"/>
        <v>0,999992651816822+0,0230887681842461i</v>
      </c>
      <c r="Z171" s="67">
        <f t="shared" si="175"/>
        <v>1.0002591638689973</v>
      </c>
      <c r="AA171" s="67">
        <f t="shared" si="176"/>
        <v>2.3084836260891219E-2</v>
      </c>
      <c r="AB171" s="92" t="str">
        <f t="shared" si="177"/>
        <v>2,32670279672461-4,9728307289907i</v>
      </c>
      <c r="AC171" s="37">
        <f t="shared" si="178"/>
        <v>14.791805859508314</v>
      </c>
      <c r="AD171" s="60">
        <f t="shared" si="179"/>
        <v>-64.925906927020122</v>
      </c>
      <c r="AE171" t="str">
        <f t="shared" si="180"/>
        <v>21,0353732052265</v>
      </c>
      <c r="AF171" t="str">
        <f t="shared" si="162"/>
        <v>1+1,14967113656985i</v>
      </c>
      <c r="AG171">
        <f t="shared" si="181"/>
        <v>1.5237269185329143</v>
      </c>
      <c r="AH171">
        <f t="shared" si="182"/>
        <v>0.85491111517192597</v>
      </c>
      <c r="AI171" t="str">
        <f t="shared" si="163"/>
        <v>1+0,0638706186983251i</v>
      </c>
      <c r="AJ171">
        <f t="shared" si="183"/>
        <v>1.0020376519537113</v>
      </c>
      <c r="AK171">
        <f t="shared" si="184"/>
        <v>6.3783978209165204E-2</v>
      </c>
      <c r="AL171" t="str">
        <f t="shared" si="164"/>
        <v>1-0,00434584514907673i</v>
      </c>
      <c r="AM171">
        <f t="shared" si="185"/>
        <v>1.0000094431404434</v>
      </c>
      <c r="AN171">
        <f t="shared" si="186"/>
        <v>-4.3458177903068513E-3</v>
      </c>
      <c r="AO171" s="58" t="str">
        <f t="shared" si="187"/>
        <v>9,68269871416887-9,87979340921692i</v>
      </c>
      <c r="AP171">
        <f t="shared" si="188"/>
        <v>22.8186244664243</v>
      </c>
      <c r="AQ171" s="60">
        <f t="shared" si="189"/>
        <v>-45.577243024151883</v>
      </c>
      <c r="AR171" t="str">
        <f t="shared" si="165"/>
        <v>-1,05811623246493</v>
      </c>
      <c r="AS171" t="str">
        <f t="shared" si="166"/>
        <v>1+0,0629508817890691i</v>
      </c>
      <c r="AT171">
        <f t="shared" si="190"/>
        <v>1.0019794476525061</v>
      </c>
      <c r="AU171">
        <f t="shared" si="191"/>
        <v>6.2867924744122713E-2</v>
      </c>
      <c r="AV171" t="str">
        <f t="shared" si="167"/>
        <v>1+0,0629508817890691i</v>
      </c>
      <c r="AW171">
        <f t="shared" si="192"/>
        <v>1.0019794476525061</v>
      </c>
      <c r="AX171">
        <f t="shared" si="193"/>
        <v>6.2867924744122713E-2</v>
      </c>
      <c r="AY171" t="str">
        <f t="shared" si="168"/>
        <v>1-0,40435566160672i</v>
      </c>
      <c r="AZ171">
        <f t="shared" si="194"/>
        <v>1.0786581947370577</v>
      </c>
      <c r="BA171">
        <f t="shared" si="195"/>
        <v>-0.38425560904655764</v>
      </c>
      <c r="BB171" s="58" t="str">
        <f t="shared" si="196"/>
        <v>-1,02711211097158+0,49251290231706i</v>
      </c>
      <c r="BC171">
        <f t="shared" si="197"/>
        <v>1.1311682130241938</v>
      </c>
      <c r="BD171" s="60">
        <f t="shared" si="198"/>
        <v>154.381708592819</v>
      </c>
      <c r="BE171" s="58" t="str">
        <f t="shared" si="199"/>
        <v>0,0593986739193779+6,25358581480204i</v>
      </c>
      <c r="BF171" s="37">
        <f t="shared" si="200"/>
        <v>15.922974072532512</v>
      </c>
      <c r="BG171" s="60">
        <f t="shared" si="201"/>
        <v>89.455801665798887</v>
      </c>
      <c r="BH171" s="58" t="str">
        <f t="shared" si="202"/>
        <v>-5,07929138994541+14,9165095104809i</v>
      </c>
      <c r="BI171" s="37">
        <f t="shared" si="203"/>
        <v>23.94979267944851</v>
      </c>
      <c r="BJ171" s="60">
        <f t="shared" si="204"/>
        <v>108.80446556866711</v>
      </c>
      <c r="BK171">
        <f t="shared" si="205"/>
        <v>15.922974072532512</v>
      </c>
      <c r="BL171" s="60">
        <f t="shared" si="206"/>
        <v>89.455801665798887</v>
      </c>
      <c r="BN171">
        <f t="shared" si="207"/>
        <v>0</v>
      </c>
      <c r="BO171">
        <f t="shared" si="208"/>
        <v>0</v>
      </c>
    </row>
    <row r="172" spans="13:67" x14ac:dyDescent="0.25">
      <c r="M172" s="66">
        <v>54</v>
      </c>
      <c r="N172" s="36">
        <f t="shared" si="156"/>
        <v>346.73685045253183</v>
      </c>
      <c r="O172" s="91" t="str">
        <f t="shared" si="157"/>
        <v>13,7404580152672</v>
      </c>
      <c r="P172" s="67" t="str">
        <f t="shared" si="158"/>
        <v>1+2,35290083495876i</v>
      </c>
      <c r="Q172" s="67">
        <f t="shared" si="169"/>
        <v>2.5565880268728534</v>
      </c>
      <c r="R172" s="67">
        <f t="shared" si="170"/>
        <v>1.1689195073765526</v>
      </c>
      <c r="S172" s="67" t="str">
        <f t="shared" si="159"/>
        <v>1+0,0653583565266322i</v>
      </c>
      <c r="T172" s="67">
        <f t="shared" si="171"/>
        <v>1.0021335812993508</v>
      </c>
      <c r="U172" s="67">
        <f t="shared" si="172"/>
        <v>6.5265530241590181E-2</v>
      </c>
      <c r="V172" t="str">
        <f t="shared" si="160"/>
        <v>1-0,0136163242763817i</v>
      </c>
      <c r="W172" s="67">
        <f t="shared" si="173"/>
        <v>1.0000926978469544</v>
      </c>
      <c r="X172" s="67">
        <f t="shared" si="174"/>
        <v>-1.3615482861683754E-2</v>
      </c>
      <c r="Y172" t="str">
        <f t="shared" si="161"/>
        <v>0,999992305507618+0,0236265746833338i</v>
      </c>
      <c r="Z172" s="67">
        <f t="shared" si="175"/>
        <v>1.000271376230325</v>
      </c>
      <c r="AA172" s="67">
        <f t="shared" si="176"/>
        <v>2.3622361613271275E-2</v>
      </c>
      <c r="AB172" s="92" t="str">
        <f t="shared" si="177"/>
        <v>2,24439621030796-4,89502626437468i</v>
      </c>
      <c r="AC172" s="37">
        <f t="shared" si="178"/>
        <v>14.623769787019398</v>
      </c>
      <c r="AD172" s="60">
        <f t="shared" si="179"/>
        <v>-65.368286259240634</v>
      </c>
      <c r="AE172" t="str">
        <f t="shared" si="180"/>
        <v>21,0353732052265</v>
      </c>
      <c r="AF172" t="str">
        <f t="shared" si="162"/>
        <v>1+1,17645041747938i</v>
      </c>
      <c r="AG172">
        <f t="shared" si="181"/>
        <v>1.5440322486228737</v>
      </c>
      <c r="AH172">
        <f t="shared" si="182"/>
        <v>0.86629380187563554</v>
      </c>
      <c r="AI172" t="str">
        <f t="shared" si="163"/>
        <v>1+0,0653583565266322i</v>
      </c>
      <c r="AJ172">
        <f t="shared" si="183"/>
        <v>1.0021335812993508</v>
      </c>
      <c r="AK172">
        <f t="shared" si="184"/>
        <v>6.5265530241590181E-2</v>
      </c>
      <c r="AL172" t="str">
        <f t="shared" si="164"/>
        <v>1-0,00444707288658753i</v>
      </c>
      <c r="AM172">
        <f t="shared" si="185"/>
        <v>1.0000098881797412</v>
      </c>
      <c r="AN172">
        <f t="shared" si="186"/>
        <v>-4.4470435711530931E-3</v>
      </c>
      <c r="AO172" s="58" t="str">
        <f t="shared" si="187"/>
        <v>9,45827460377715-9,8458995224705i</v>
      </c>
      <c r="AP172">
        <f t="shared" si="188"/>
        <v>22.704475293663403</v>
      </c>
      <c r="AQ172" s="60">
        <f t="shared" si="189"/>
        <v>-46.150336063227527</v>
      </c>
      <c r="AR172" t="str">
        <f t="shared" si="165"/>
        <v>-1,05811623246493</v>
      </c>
      <c r="AS172" t="str">
        <f t="shared" si="166"/>
        <v>1+0,0644171961926486i</v>
      </c>
      <c r="AT172">
        <f t="shared" si="190"/>
        <v>1.0020726396650705</v>
      </c>
      <c r="AU172">
        <f t="shared" si="191"/>
        <v>6.4328316044327288E-2</v>
      </c>
      <c r="AV172" t="str">
        <f t="shared" si="167"/>
        <v>1+0,0644171961926486i</v>
      </c>
      <c r="AW172">
        <f t="shared" si="192"/>
        <v>1.0020726396650705</v>
      </c>
      <c r="AX172">
        <f t="shared" si="193"/>
        <v>6.4328316044327288E-2</v>
      </c>
      <c r="AY172" t="str">
        <f t="shared" si="168"/>
        <v>1-0,395151403026299i</v>
      </c>
      <c r="AZ172">
        <f t="shared" si="194"/>
        <v>1.0752416618201011</v>
      </c>
      <c r="BA172">
        <f t="shared" si="195"/>
        <v>-0.37631957652072395</v>
      </c>
      <c r="BB172" s="58" t="str">
        <f t="shared" si="196"/>
        <v>-1,02692107852526+0,484267490413147i</v>
      </c>
      <c r="BC172">
        <f t="shared" si="197"/>
        <v>1.1028051179424228</v>
      </c>
      <c r="BD172" s="60">
        <f t="shared" si="198"/>
        <v>154.75273550468833</v>
      </c>
      <c r="BE172" s="58" t="str">
        <f t="shared" si="199"/>
        <v>0,0656843076277114+6,11369377107973i</v>
      </c>
      <c r="BF172" s="37">
        <f t="shared" si="200"/>
        <v>15.726574904961812</v>
      </c>
      <c r="BG172" s="60">
        <f t="shared" si="201"/>
        <v>89.384449245447698</v>
      </c>
      <c r="BH172" s="58" t="str">
        <f t="shared" si="202"/>
        <v>-4,94485250449212+14,6912966626763i</v>
      </c>
      <c r="BI172" s="37">
        <f t="shared" si="203"/>
        <v>23.80728041160582</v>
      </c>
      <c r="BJ172" s="60">
        <f t="shared" si="204"/>
        <v>108.60239944146082</v>
      </c>
      <c r="BK172">
        <f t="shared" si="205"/>
        <v>15.726574904961812</v>
      </c>
      <c r="BL172" s="60">
        <f t="shared" si="206"/>
        <v>89.384449245447698</v>
      </c>
      <c r="BN172">
        <f t="shared" si="207"/>
        <v>0</v>
      </c>
      <c r="BO172">
        <f t="shared" si="208"/>
        <v>0</v>
      </c>
    </row>
    <row r="173" spans="13:67" x14ac:dyDescent="0.25">
      <c r="M173" s="66">
        <v>55</v>
      </c>
      <c r="N173" s="36">
        <f t="shared" si="156"/>
        <v>354.81338923357566</v>
      </c>
      <c r="O173" s="91" t="str">
        <f t="shared" si="157"/>
        <v>13,7404580152672</v>
      </c>
      <c r="P173" s="67" t="str">
        <f t="shared" si="158"/>
        <v>1+2,40770693594483i</v>
      </c>
      <c r="Q173" s="67">
        <f t="shared" si="169"/>
        <v>2.6071157798219935</v>
      </c>
      <c r="R173" s="67">
        <f t="shared" si="170"/>
        <v>1.1771421749253346</v>
      </c>
      <c r="S173" s="67" t="str">
        <f t="shared" si="159"/>
        <v>1+0,0668807482206898i</v>
      </c>
      <c r="T173" s="67">
        <f t="shared" si="171"/>
        <v>1.0022340218145456</v>
      </c>
      <c r="U173" s="67">
        <f t="shared" si="172"/>
        <v>6.6781295034734386E-2</v>
      </c>
      <c r="V173" t="str">
        <f t="shared" si="160"/>
        <v>1-0,0139334892126437i</v>
      </c>
      <c r="W173" s="67">
        <f t="shared" si="173"/>
        <v>1.0000970663498814</v>
      </c>
      <c r="X173" s="67">
        <f t="shared" si="174"/>
        <v>-1.3932587625277161E-2</v>
      </c>
      <c r="Y173" t="str">
        <f t="shared" si="161"/>
        <v>0,999991942877364+0,0241769083050534i</v>
      </c>
      <c r="Z173" s="67">
        <f t="shared" si="175"/>
        <v>1.0002841639828335</v>
      </c>
      <c r="AA173" s="67">
        <f t="shared" si="176"/>
        <v>2.4172393988394405E-2</v>
      </c>
      <c r="AB173" s="92" t="str">
        <f t="shared" si="177"/>
        <v>2,16467757759575-4,81713125162625i</v>
      </c>
      <c r="AC173" s="37">
        <f t="shared" si="178"/>
        <v>14.454575848427623</v>
      </c>
      <c r="AD173" s="60">
        <f t="shared" si="179"/>
        <v>-65.802246779050918</v>
      </c>
      <c r="AE173" t="str">
        <f t="shared" si="180"/>
        <v>21,0353732052265</v>
      </c>
      <c r="AF173" t="str">
        <f t="shared" si="162"/>
        <v>1+1,20385346797242i</v>
      </c>
      <c r="AG173">
        <f t="shared" si="181"/>
        <v>1.5650121955912109</v>
      </c>
      <c r="AH173">
        <f t="shared" si="182"/>
        <v>0.87763435211782859</v>
      </c>
      <c r="AI173" t="str">
        <f t="shared" si="163"/>
        <v>1+0,0668807482206898i</v>
      </c>
      <c r="AJ173">
        <f t="shared" si="183"/>
        <v>1.0022340218145456</v>
      </c>
      <c r="AK173">
        <f t="shared" si="184"/>
        <v>6.6781295034734386E-2</v>
      </c>
      <c r="AL173" t="str">
        <f t="shared" si="164"/>
        <v>1-0,00455065852100677i</v>
      </c>
      <c r="AM173">
        <f t="shared" si="185"/>
        <v>1.0000103541928829</v>
      </c>
      <c r="AN173">
        <f t="shared" si="186"/>
        <v>-4.550627108970395E-3</v>
      </c>
      <c r="AO173" s="58" t="str">
        <f t="shared" si="187"/>
        <v>9,23550889452709-9,80706271241849i</v>
      </c>
      <c r="AP173">
        <f t="shared" si="188"/>
        <v>22.588122666741622</v>
      </c>
      <c r="AQ173" s="60">
        <f t="shared" si="189"/>
        <v>-46.719189703623542</v>
      </c>
      <c r="AR173" t="str">
        <f t="shared" si="165"/>
        <v>-1,05811623246493</v>
      </c>
      <c r="AS173" t="str">
        <f t="shared" si="166"/>
        <v>1+0,0659176654463118i</v>
      </c>
      <c r="AT173">
        <f t="shared" si="190"/>
        <v>1.0021702143936886</v>
      </c>
      <c r="AU173">
        <f t="shared" si="191"/>
        <v>6.5822439786605638E-2</v>
      </c>
      <c r="AV173" t="str">
        <f t="shared" si="167"/>
        <v>1+0,0659176654463118i</v>
      </c>
      <c r="AW173">
        <f t="shared" si="192"/>
        <v>1.0021702143936886</v>
      </c>
      <c r="AX173">
        <f t="shared" si="193"/>
        <v>6.5822439786605638E-2</v>
      </c>
      <c r="AY173" t="str">
        <f t="shared" si="168"/>
        <v>1-0,38615665895021i</v>
      </c>
      <c r="AZ173">
        <f t="shared" si="194"/>
        <v>1.0719687333367465</v>
      </c>
      <c r="BA173">
        <f t="shared" si="195"/>
        <v>-0.36851579652235028</v>
      </c>
      <c r="BB173" s="58" t="str">
        <f t="shared" si="196"/>
        <v>-1,02672111914486+0,476277688348095i</v>
      </c>
      <c r="BC173">
        <f t="shared" si="197"/>
        <v>1.0754800855025597</v>
      </c>
      <c r="BD173" s="60">
        <f t="shared" si="198"/>
        <v>155.11425217834105</v>
      </c>
      <c r="BE173" s="58" t="str">
        <f t="shared" si="199"/>
        <v>0,0717719519370226+5,97683802241364i</v>
      </c>
      <c r="BF173" s="37">
        <f t="shared" si="200"/>
        <v>15.53005593393018</v>
      </c>
      <c r="BG173" s="60">
        <f t="shared" si="201"/>
        <v>89.312005399290129</v>
      </c>
      <c r="BH173" s="58" t="str">
        <f t="shared" si="202"/>
        <v>-4,81140686990569+14,4677852306218i</v>
      </c>
      <c r="BI173" s="37">
        <f t="shared" si="203"/>
        <v>23.663602752244199</v>
      </c>
      <c r="BJ173" s="60">
        <f t="shared" si="204"/>
        <v>108.39506247471749</v>
      </c>
      <c r="BK173">
        <f t="shared" si="205"/>
        <v>15.53005593393018</v>
      </c>
      <c r="BL173" s="60">
        <f t="shared" si="206"/>
        <v>89.312005399290129</v>
      </c>
      <c r="BN173">
        <f t="shared" si="207"/>
        <v>0</v>
      </c>
      <c r="BO173">
        <f t="shared" si="208"/>
        <v>0</v>
      </c>
    </row>
    <row r="174" spans="13:67" x14ac:dyDescent="0.25">
      <c r="M174" s="66">
        <v>56</v>
      </c>
      <c r="N174" s="36">
        <f t="shared" si="156"/>
        <v>363.07805477010152</v>
      </c>
      <c r="O174" s="91" t="str">
        <f t="shared" si="157"/>
        <v>13,7404580152672</v>
      </c>
      <c r="P174" s="67" t="str">
        <f t="shared" si="158"/>
        <v>1+2,46378963501812i</v>
      </c>
      <c r="Q174" s="67">
        <f t="shared" si="169"/>
        <v>2.658995931855241</v>
      </c>
      <c r="R174" s="67">
        <f t="shared" si="170"/>
        <v>1.1852323077680578</v>
      </c>
      <c r="S174" s="67" t="str">
        <f t="shared" si="159"/>
        <v>1+0,0684386009727256i</v>
      </c>
      <c r="T174" s="67">
        <f t="shared" si="171"/>
        <v>1.0023391851579504</v>
      </c>
      <c r="U174" s="67">
        <f t="shared" si="172"/>
        <v>6.8332048391192279E-2</v>
      </c>
      <c r="V174" t="str">
        <f t="shared" si="160"/>
        <v>1-0,0142580418693178i</v>
      </c>
      <c r="W174" s="67">
        <f t="shared" si="173"/>
        <v>1.0001016407135563</v>
      </c>
      <c r="X174" s="67">
        <f t="shared" si="174"/>
        <v>-1.4257075806351814E-2</v>
      </c>
      <c r="Y174" t="str">
        <f t="shared" si="161"/>
        <v>0,999991563156873+0,0247400608435756i</v>
      </c>
      <c r="Z174" s="67">
        <f t="shared" si="175"/>
        <v>1.0002975542284755</v>
      </c>
      <c r="AA174" s="67">
        <f t="shared" si="176"/>
        <v>2.4735223743819389E-2</v>
      </c>
      <c r="AB174" s="92" t="str">
        <f t="shared" si="177"/>
        <v>2,08750721717428-4,73923113706881i</v>
      </c>
      <c r="AC174" s="37">
        <f t="shared" si="178"/>
        <v>14.284263565189512</v>
      </c>
      <c r="AD174" s="60">
        <f t="shared" si="179"/>
        <v>-66.227765197096048</v>
      </c>
      <c r="AE174" t="str">
        <f t="shared" si="180"/>
        <v>21,0353732052265</v>
      </c>
      <c r="AF174" t="str">
        <f t="shared" si="162"/>
        <v>1+1,23189481750906i</v>
      </c>
      <c r="AG174">
        <f t="shared" si="181"/>
        <v>1.586683598391841</v>
      </c>
      <c r="AH174">
        <f t="shared" si="182"/>
        <v>0.88892711171834948</v>
      </c>
      <c r="AI174" t="str">
        <f t="shared" si="163"/>
        <v>1+0,0684386009727256i</v>
      </c>
      <c r="AJ174">
        <f t="shared" si="183"/>
        <v>1.0023391851579504</v>
      </c>
      <c r="AK174">
        <f t="shared" si="184"/>
        <v>6.8332048391192279E-2</v>
      </c>
      <c r="AL174" t="str">
        <f t="shared" si="164"/>
        <v>1-0,00465665697480894i</v>
      </c>
      <c r="AM174">
        <f t="shared" si="185"/>
        <v>1.0000108421683143</v>
      </c>
      <c r="AN174">
        <f t="shared" si="186"/>
        <v>-4.6566233162252573E-3</v>
      </c>
      <c r="AO174" s="58" t="str">
        <f t="shared" si="187"/>
        <v>9,01461668034669-9,76338257459879i</v>
      </c>
      <c r="AP174">
        <f t="shared" si="188"/>
        <v>22.469586133626038</v>
      </c>
      <c r="AQ174" s="60">
        <f t="shared" si="189"/>
        <v>-47.283438680718575</v>
      </c>
      <c r="AR174" t="str">
        <f t="shared" si="165"/>
        <v>-1,05811623246493</v>
      </c>
      <c r="AS174" t="str">
        <f t="shared" si="166"/>
        <v>1+0,0674530851187183i</v>
      </c>
      <c r="AT174">
        <f t="shared" si="190"/>
        <v>1.0022723774962736</v>
      </c>
      <c r="AU174">
        <f t="shared" si="191"/>
        <v>6.7351061476187787E-2</v>
      </c>
      <c r="AV174" t="str">
        <f t="shared" si="167"/>
        <v>1+0,0674530851187183i</v>
      </c>
      <c r="AW174">
        <f t="shared" si="192"/>
        <v>1.0022723774962736</v>
      </c>
      <c r="AX174">
        <f t="shared" si="193"/>
        <v>6.7351061476187787E-2</v>
      </c>
      <c r="AY174" t="str">
        <f t="shared" si="168"/>
        <v>1-0,377366660246083i</v>
      </c>
      <c r="AZ174">
        <f t="shared" si="194"/>
        <v>1.0688337552048413</v>
      </c>
      <c r="BA174">
        <f t="shared" si="195"/>
        <v>-0.36084393434792938</v>
      </c>
      <c r="BB174" s="58" t="str">
        <f t="shared" si="196"/>
        <v>-1,02651181941471+0,46853917792781i</v>
      </c>
      <c r="BC174">
        <f t="shared" si="197"/>
        <v>1.0491555288226437</v>
      </c>
      <c r="BD174" s="60">
        <f t="shared" si="198"/>
        <v>155.46623393065613</v>
      </c>
      <c r="BE174" s="58" t="str">
        <f t="shared" si="199"/>
        <v>0,0776646294291918+5,84295569259256i</v>
      </c>
      <c r="BF174" s="37">
        <f t="shared" si="200"/>
        <v>15.333419094012161</v>
      </c>
      <c r="BG174" s="60">
        <f t="shared" si="201"/>
        <v>89.238468733560097</v>
      </c>
      <c r="BH174" s="58" t="str">
        <f t="shared" si="202"/>
        <v>-4,67908332457165+14,2459286990372i</v>
      </c>
      <c r="BI174" s="37">
        <f t="shared" si="203"/>
        <v>23.518741662448654</v>
      </c>
      <c r="BJ174" s="60">
        <f t="shared" si="204"/>
        <v>108.18279524993758</v>
      </c>
      <c r="BK174">
        <f t="shared" si="205"/>
        <v>15.333419094012161</v>
      </c>
      <c r="BL174" s="60">
        <f t="shared" si="206"/>
        <v>89.238468733560097</v>
      </c>
      <c r="BN174">
        <f t="shared" si="207"/>
        <v>0</v>
      </c>
      <c r="BO174">
        <f t="shared" si="208"/>
        <v>0</v>
      </c>
    </row>
    <row r="175" spans="13:67" x14ac:dyDescent="0.25">
      <c r="M175" s="66">
        <v>57</v>
      </c>
      <c r="N175" s="36">
        <f t="shared" si="156"/>
        <v>371.53522909717265</v>
      </c>
      <c r="O175" s="91" t="str">
        <f t="shared" si="157"/>
        <v>13,7404580152672</v>
      </c>
      <c r="P175" s="67" t="str">
        <f t="shared" si="158"/>
        <v>1+2,521178667968i</v>
      </c>
      <c r="Q175" s="67">
        <f t="shared" si="169"/>
        <v>2.7122577082233357</v>
      </c>
      <c r="R175" s="67">
        <f t="shared" si="170"/>
        <v>1.193189958343964</v>
      </c>
      <c r="S175" s="67" t="str">
        <f t="shared" si="159"/>
        <v>1+0,0700327407768889i</v>
      </c>
      <c r="T175" s="67">
        <f t="shared" si="171"/>
        <v>1.0024492928725737</v>
      </c>
      <c r="U175" s="67">
        <f t="shared" si="172"/>
        <v>6.9918582689679099E-2</v>
      </c>
      <c r="V175" t="str">
        <f t="shared" si="160"/>
        <v>1-0,0145901543285185i</v>
      </c>
      <c r="W175" s="67">
        <f t="shared" si="173"/>
        <v>1.0001064306379246</v>
      </c>
      <c r="X175" s="67">
        <f t="shared" si="174"/>
        <v>-1.4589119179349923E-2</v>
      </c>
      <c r="Y175" t="str">
        <f t="shared" si="161"/>
        <v>0,999991165540707+0,0253163308898304i</v>
      </c>
      <c r="Z175" s="67">
        <f t="shared" si="175"/>
        <v>1.0003115753449947</v>
      </c>
      <c r="AA175" s="67">
        <f t="shared" si="176"/>
        <v>2.5311147931230783E-2</v>
      </c>
      <c r="AB175" s="92" t="str">
        <f t="shared" si="177"/>
        <v>2,01284271111472-4,66140732924828i</v>
      </c>
      <c r="AC175" s="37">
        <f t="shared" si="178"/>
        <v>14.112871930856155</v>
      </c>
      <c r="AD175" s="60">
        <f t="shared" si="179"/>
        <v>-66.64482597972551</v>
      </c>
      <c r="AE175" t="str">
        <f t="shared" si="180"/>
        <v>21,0353732052265</v>
      </c>
      <c r="AF175" t="str">
        <f t="shared" si="162"/>
        <v>1+1,260589333984i</v>
      </c>
      <c r="AG175">
        <f t="shared" si="181"/>
        <v>1.6090635378860043</v>
      </c>
      <c r="AH175">
        <f t="shared" si="182"/>
        <v>0.90016654797500406</v>
      </c>
      <c r="AI175" t="str">
        <f t="shared" si="163"/>
        <v>1+0,0700327407768889i</v>
      </c>
      <c r="AJ175">
        <f t="shared" si="183"/>
        <v>1.0024492928725737</v>
      </c>
      <c r="AK175">
        <f t="shared" si="184"/>
        <v>6.9918582689679099E-2</v>
      </c>
      <c r="AL175" t="str">
        <f t="shared" si="164"/>
        <v>1-0,00476512444977728i</v>
      </c>
      <c r="AM175">
        <f t="shared" si="185"/>
        <v>1.0000113531410639</v>
      </c>
      <c r="AN175">
        <f t="shared" si="186"/>
        <v>-4.765088383977191E-3</v>
      </c>
      <c r="AO175" s="58" t="str">
        <f t="shared" si="187"/>
        <v>8,79580551776275-9,71496995183301i</v>
      </c>
      <c r="AP175">
        <f t="shared" si="188"/>
        <v>22.348887447051993</v>
      </c>
      <c r="AQ175" s="60">
        <f t="shared" si="189"/>
        <v>-47.842723813581912</v>
      </c>
      <c r="AR175" t="str">
        <f t="shared" si="165"/>
        <v>-1,05811623246493</v>
      </c>
      <c r="AS175" t="str">
        <f t="shared" si="166"/>
        <v>1+0,0690242693097016i</v>
      </c>
      <c r="AT175">
        <f t="shared" si="190"/>
        <v>1.0023793442373692</v>
      </c>
      <c r="AU175">
        <f t="shared" si="191"/>
        <v>6.8914963017194339E-2</v>
      </c>
      <c r="AV175" t="str">
        <f t="shared" si="167"/>
        <v>1+0,0690242693097016i</v>
      </c>
      <c r="AW175">
        <f t="shared" si="192"/>
        <v>1.0023793442373692</v>
      </c>
      <c r="AX175">
        <f t="shared" si="193"/>
        <v>6.8914963017194339E-2</v>
      </c>
      <c r="AY175" t="str">
        <f t="shared" si="168"/>
        <v>1-0,368776746340257i</v>
      </c>
      <c r="AZ175">
        <f t="shared" si="194"/>
        <v>1.0658312664963936</v>
      </c>
      <c r="BA175">
        <f t="shared" si="195"/>
        <v>-0.35330353565732192</v>
      </c>
      <c r="BB175" s="58" t="str">
        <f t="shared" si="196"/>
        <v>-1,0262927471324+0,461047768426888i</v>
      </c>
      <c r="BC175">
        <f t="shared" si="197"/>
        <v>1.023794489591054</v>
      </c>
      <c r="BD175" s="60">
        <f t="shared" si="198"/>
        <v>155.80866199360034</v>
      </c>
      <c r="BE175" s="58" t="str">
        <f t="shared" si="199"/>
        <v>0,0833655713433057+5,71198517359109i</v>
      </c>
      <c r="BF175" s="37">
        <f t="shared" si="200"/>
        <v>15.136666420447211</v>
      </c>
      <c r="BG175" s="60">
        <f t="shared" si="201"/>
        <v>89.163836013874842</v>
      </c>
      <c r="BH175" s="58" t="str">
        <f t="shared" si="202"/>
        <v>-4,54800619144017+14,0256897056568i</v>
      </c>
      <c r="BI175" s="37">
        <f t="shared" si="203"/>
        <v>23.372681936643023</v>
      </c>
      <c r="BJ175" s="60">
        <f t="shared" si="204"/>
        <v>107.96593818001848</v>
      </c>
      <c r="BK175">
        <f t="shared" si="205"/>
        <v>15.136666420447211</v>
      </c>
      <c r="BL175" s="60">
        <f t="shared" si="206"/>
        <v>89.163836013874842</v>
      </c>
      <c r="BN175">
        <f t="shared" si="207"/>
        <v>0</v>
      </c>
      <c r="BO175">
        <f t="shared" si="208"/>
        <v>0</v>
      </c>
    </row>
    <row r="176" spans="13:67" x14ac:dyDescent="0.25">
      <c r="M176" s="66">
        <v>58</v>
      </c>
      <c r="N176" s="36">
        <f t="shared" si="156"/>
        <v>380.18939632056163</v>
      </c>
      <c r="O176" s="91" t="str">
        <f t="shared" si="157"/>
        <v>13,7404580152672</v>
      </c>
      <c r="P176" s="67" t="str">
        <f t="shared" si="158"/>
        <v>1+2,57990446321938i</v>
      </c>
      <c r="Q176" s="67">
        <f t="shared" si="169"/>
        <v>2.7669309784198228</v>
      </c>
      <c r="R176" s="67">
        <f t="shared" si="170"/>
        <v>1.2010153135708386</v>
      </c>
      <c r="S176" s="67" t="str">
        <f t="shared" si="159"/>
        <v>1+0,071664012867205i</v>
      </c>
      <c r="T176" s="67">
        <f t="shared" si="171"/>
        <v>1.0025645768429239</v>
      </c>
      <c r="U176" s="67">
        <f t="shared" si="172"/>
        <v>7.1541707166118171E-2</v>
      </c>
      <c r="V176" t="str">
        <f t="shared" si="160"/>
        <v>1-0,0149300026806677i</v>
      </c>
      <c r="W176" s="67">
        <f t="shared" si="173"/>
        <v>1.0001114462798857</v>
      </c>
      <c r="X176" s="67">
        <f t="shared" si="174"/>
        <v>-1.4928893505025185E-2</v>
      </c>
      <c r="Y176" t="str">
        <f t="shared" si="161"/>
        <v>0,999990749185467+0,0259060239898242i</v>
      </c>
      <c r="Z176" s="67">
        <f t="shared" si="175"/>
        <v>1.0003262570459064</v>
      </c>
      <c r="AA176" s="67">
        <f t="shared" si="176"/>
        <v>2.5900470447429425E-2</v>
      </c>
      <c r="AB176" s="92" t="str">
        <f t="shared" si="177"/>
        <v>1,94063920823371-4,58373718475002i</v>
      </c>
      <c r="AC176" s="37">
        <f t="shared" si="178"/>
        <v>13.940439376494121</v>
      </c>
      <c r="AD176" s="60">
        <f t="shared" si="179"/>
        <v>-67.053420953090054</v>
      </c>
      <c r="AE176" t="str">
        <f t="shared" si="180"/>
        <v>21,0353732052265</v>
      </c>
      <c r="AF176" t="str">
        <f t="shared" si="162"/>
        <v>1+1,28995223160969i</v>
      </c>
      <c r="AG176">
        <f t="shared" si="181"/>
        <v>1.6321693416538676</v>
      </c>
      <c r="AH176">
        <f t="shared" si="182"/>
        <v>0.91134726226820517</v>
      </c>
      <c r="AI176" t="str">
        <f t="shared" si="163"/>
        <v>1+0,071664012867205i</v>
      </c>
      <c r="AJ176">
        <f t="shared" si="183"/>
        <v>1.0025645768429239</v>
      </c>
      <c r="AK176">
        <f t="shared" si="184"/>
        <v>7.1541707166118171E-2</v>
      </c>
      <c r="AL176" t="str">
        <f t="shared" si="164"/>
        <v>1-0,00487611845680278i</v>
      </c>
      <c r="AM176">
        <f t="shared" si="185"/>
        <v>1.0000118881949378</v>
      </c>
      <c r="AN176">
        <f t="shared" si="186"/>
        <v>-4.8760798116265387E-3</v>
      </c>
      <c r="AO176" s="58" t="str">
        <f t="shared" si="187"/>
        <v>8,57927470466491-9,661946266361i</v>
      </c>
      <c r="AP176">
        <f t="shared" si="188"/>
        <v>22.22605048910107</v>
      </c>
      <c r="AQ176" s="60">
        <f t="shared" si="189"/>
        <v>-48.396692712766054</v>
      </c>
      <c r="AR176" t="str">
        <f t="shared" si="165"/>
        <v>-1,05811623246493</v>
      </c>
      <c r="AS176" t="str">
        <f t="shared" si="166"/>
        <v>1+0,0706320510819172i</v>
      </c>
      <c r="AT176">
        <f t="shared" si="190"/>
        <v>1.0024913399326891</v>
      </c>
      <c r="AU176">
        <f t="shared" si="191"/>
        <v>7.0514942993944882E-2</v>
      </c>
      <c r="AV176" t="str">
        <f t="shared" si="167"/>
        <v>1+0,0706320510819172i</v>
      </c>
      <c r="AW176">
        <f t="shared" si="192"/>
        <v>1.0024913399326891</v>
      </c>
      <c r="AX176">
        <f t="shared" si="193"/>
        <v>7.0514942993944882E-2</v>
      </c>
      <c r="AY176" t="str">
        <f t="shared" si="168"/>
        <v>1-0,360382362746679i</v>
      </c>
      <c r="AZ176">
        <f t="shared" si="194"/>
        <v>1.0629559950340743</v>
      </c>
      <c r="BA176">
        <f t="shared" si="195"/>
        <v>-0.34589403325864987</v>
      </c>
      <c r="BB176" s="58" t="str">
        <f t="shared" si="196"/>
        <v>-1,02606345048948+0,453799393964587i</v>
      </c>
      <c r="BC176">
        <f t="shared" si="197"/>
        <v>0.99936065911318717</v>
      </c>
      <c r="BD176" s="60">
        <f t="shared" si="198"/>
        <v>156.14152310936299</v>
      </c>
      <c r="BE176" s="58" t="str">
        <f t="shared" si="199"/>
        <v>0,0888781943770482+5,58386608852191i</v>
      </c>
      <c r="BF176" s="37">
        <f t="shared" si="200"/>
        <v>14.9398000356073</v>
      </c>
      <c r="BG176" s="60">
        <f t="shared" si="201"/>
        <v>89.088102156272953</v>
      </c>
      <c r="BH176" s="58" t="str">
        <f t="shared" si="202"/>
        <v>-4,41829484597257+13,807039586139i</v>
      </c>
      <c r="BI176" s="37">
        <f t="shared" si="203"/>
        <v>23.225411148214281</v>
      </c>
      <c r="BJ176" s="60">
        <f t="shared" si="204"/>
        <v>107.74483039659691</v>
      </c>
      <c r="BK176">
        <f t="shared" si="205"/>
        <v>14.9398000356073</v>
      </c>
      <c r="BL176" s="60">
        <f t="shared" si="206"/>
        <v>89.088102156272953</v>
      </c>
      <c r="BN176">
        <f t="shared" si="207"/>
        <v>0</v>
      </c>
      <c r="BO176">
        <f t="shared" si="208"/>
        <v>0</v>
      </c>
    </row>
    <row r="177" spans="13:67" x14ac:dyDescent="0.25">
      <c r="M177" s="66">
        <v>59</v>
      </c>
      <c r="N177" s="36">
        <f t="shared" si="156"/>
        <v>389.04514499428063</v>
      </c>
      <c r="O177" s="91" t="str">
        <f t="shared" si="157"/>
        <v>13,7404580152672</v>
      </c>
      <c r="P177" s="67" t="str">
        <f t="shared" si="158"/>
        <v>1+2,63999815796623i</v>
      </c>
      <c r="Q177" s="67">
        <f t="shared" si="169"/>
        <v>2.8230462755798191</v>
      </c>
      <c r="R177" s="67">
        <f t="shared" si="170"/>
        <v>1.2087086879685023</v>
      </c>
      <c r="S177" s="67" t="str">
        <f t="shared" si="159"/>
        <v>1+0,0733332821657287i</v>
      </c>
      <c r="T177" s="67">
        <f t="shared" si="171"/>
        <v>1.0026852797728698</v>
      </c>
      <c r="U177" s="67">
        <f t="shared" si="172"/>
        <v>7.3202248193988365E-2</v>
      </c>
      <c r="V177" t="str">
        <f t="shared" si="160"/>
        <v>1-0,0152777671178601i</v>
      </c>
      <c r="W177" s="67">
        <f t="shared" si="173"/>
        <v>1.0001166982748102</v>
      </c>
      <c r="X177" s="67">
        <f t="shared" si="174"/>
        <v>-1.5276578622236076E-2</v>
      </c>
      <c r="Y177" t="str">
        <f t="shared" si="161"/>
        <v>0,99999031320801+0,0265094528066442i</v>
      </c>
      <c r="Z177" s="67">
        <f t="shared" si="175"/>
        <v>1.000341630443301</v>
      </c>
      <c r="AA177" s="67">
        <f t="shared" si="176"/>
        <v>2.6503502188487741E-2</v>
      </c>
      <c r="AB177" s="92" t="str">
        <f t="shared" si="177"/>
        <v>1,87084971638424-4,50629401394222i</v>
      </c>
      <c r="AC177" s="37">
        <f t="shared" si="178"/>
        <v>13.767003740646718</v>
      </c>
      <c r="AD177" s="60">
        <f t="shared" si="179"/>
        <v>-67.453548907175573</v>
      </c>
      <c r="AE177" t="str">
        <f t="shared" si="180"/>
        <v>21,0353732052265</v>
      </c>
      <c r="AF177" t="str">
        <f t="shared" si="162"/>
        <v>1+1,31999907898312i</v>
      </c>
      <c r="AG177">
        <f t="shared" si="181"/>
        <v>1.656018589423526</v>
      </c>
      <c r="AH177">
        <f t="shared" si="182"/>
        <v>0.92246400186410893</v>
      </c>
      <c r="AI177" t="str">
        <f t="shared" si="163"/>
        <v>1+0,0733332821657287i</v>
      </c>
      <c r="AJ177">
        <f t="shared" si="183"/>
        <v>1.0026852797728698</v>
      </c>
      <c r="AK177">
        <f t="shared" si="184"/>
        <v>7.3202248193988365E-2</v>
      </c>
      <c r="AL177" t="str">
        <f t="shared" si="164"/>
        <v>1-0,00498969784637713i</v>
      </c>
      <c r="AM177">
        <f t="shared" si="185"/>
        <v>1.000012448464817</v>
      </c>
      <c r="AN177">
        <f t="shared" si="186"/>
        <v>-4.9896564373525737E-3</v>
      </c>
      <c r="AO177" s="58" t="str">
        <f t="shared" si="187"/>
        <v>8,36521462692493-9,6044428006966i</v>
      </c>
      <c r="AP177">
        <f t="shared" si="188"/>
        <v>22.101101189048372</v>
      </c>
      <c r="AQ177" s="60">
        <f t="shared" si="189"/>
        <v>-48.945000442257438</v>
      </c>
      <c r="AR177" t="str">
        <f t="shared" si="165"/>
        <v>-1,05811623246493</v>
      </c>
      <c r="AS177" t="str">
        <f t="shared" si="166"/>
        <v>1+0,0722772829025422i</v>
      </c>
      <c r="AT177">
        <f t="shared" si="190"/>
        <v>1.0026086004138275</v>
      </c>
      <c r="AU177">
        <f t="shared" si="191"/>
        <v>7.2151816951826722E-2</v>
      </c>
      <c r="AV177" t="str">
        <f t="shared" si="167"/>
        <v>1+0,0722772829025422i</v>
      </c>
      <c r="AW177">
        <f t="shared" si="192"/>
        <v>1.0026086004138275</v>
      </c>
      <c r="AX177">
        <f t="shared" si="193"/>
        <v>7.2151816951826722E-2</v>
      </c>
      <c r="AY177" t="str">
        <f t="shared" si="168"/>
        <v>1-0,352179058652054i</v>
      </c>
      <c r="AZ177">
        <f t="shared" si="194"/>
        <v>1.060202852926291</v>
      </c>
      <c r="BA177">
        <f t="shared" si="195"/>
        <v>-0.3386147538078646</v>
      </c>
      <c r="BB177" s="58" t="str">
        <f t="shared" si="196"/>
        <v>-1,02582345721994+0,446790110919507i</v>
      </c>
      <c r="BC177">
        <f t="shared" si="197"/>
        <v>0.9758183953807098</v>
      </c>
      <c r="BD177" s="60">
        <f t="shared" si="198"/>
        <v>156.46480913040773</v>
      </c>
      <c r="BE177" s="58" t="str">
        <f t="shared" si="199"/>
        <v>0,0942060783249294+5,45853925692877i</v>
      </c>
      <c r="BF177" s="37">
        <f t="shared" si="200"/>
        <v>14.742822136027424</v>
      </c>
      <c r="BG177" s="60">
        <f t="shared" si="201"/>
        <v>89.011260223232156</v>
      </c>
      <c r="BH177" s="58" t="str">
        <f t="shared" si="202"/>
        <v>-4,29006332473565+13,589957889511i</v>
      </c>
      <c r="BI177" s="37">
        <f t="shared" si="203"/>
        <v>23.076919584429071</v>
      </c>
      <c r="BJ177" s="60">
        <f t="shared" si="204"/>
        <v>107.51980868815033</v>
      </c>
      <c r="BK177">
        <f t="shared" si="205"/>
        <v>14.742822136027424</v>
      </c>
      <c r="BL177" s="60">
        <f t="shared" si="206"/>
        <v>89.011260223232156</v>
      </c>
      <c r="BN177">
        <f t="shared" si="207"/>
        <v>0</v>
      </c>
      <c r="BO177">
        <f t="shared" si="208"/>
        <v>0</v>
      </c>
    </row>
    <row r="178" spans="13:67" x14ac:dyDescent="0.25">
      <c r="M178" s="66">
        <v>60</v>
      </c>
      <c r="N178" s="36">
        <f t="shared" si="156"/>
        <v>398.10717055349761</v>
      </c>
      <c r="O178" s="91" t="str">
        <f t="shared" si="157"/>
        <v>13,7404580152672</v>
      </c>
      <c r="P178" s="67" t="str">
        <f t="shared" si="158"/>
        <v>1+2,70149161468094i</v>
      </c>
      <c r="Q178" s="67">
        <f t="shared" si="169"/>
        <v>2.8806348161805295</v>
      </c>
      <c r="R178" s="67">
        <f t="shared" si="170"/>
        <v>1.2162705168076415</v>
      </c>
      <c r="S178" s="67" t="str">
        <f t="shared" si="159"/>
        <v>1+0,0750414337411372i</v>
      </c>
      <c r="T178" s="67">
        <f t="shared" si="171"/>
        <v>1.002811655685117</v>
      </c>
      <c r="U178" s="67">
        <f t="shared" si="172"/>
        <v>7.4901049563423402E-2</v>
      </c>
      <c r="V178" t="str">
        <f t="shared" si="160"/>
        <v>1-0,0156336320294036i</v>
      </c>
      <c r="W178" s="67">
        <f t="shared" si="173"/>
        <v>1.0001221977590693</v>
      </c>
      <c r="X178" s="67">
        <f t="shared" si="174"/>
        <v>-1.5632358541801866E-2</v>
      </c>
      <c r="Y178" t="str">
        <f t="shared" si="161"/>
        <v>0,999989856683568+0,0271269372862363i</v>
      </c>
      <c r="Z178" s="67">
        <f t="shared" si="175"/>
        <v>1.0003577281135756</v>
      </c>
      <c r="AA178" s="67">
        <f t="shared" si="176"/>
        <v>2.7120561207119365E-2</v>
      </c>
      <c r="AB178" s="92" t="str">
        <f t="shared" si="177"/>
        <v>1,80342538282665-4,42914710491621i</v>
      </c>
      <c r="AC178" s="37">
        <f t="shared" si="178"/>
        <v>13.592602243673069</v>
      </c>
      <c r="AD178" s="60">
        <f t="shared" si="179"/>
        <v>-67.845215201663663</v>
      </c>
      <c r="AE178" t="str">
        <f t="shared" si="180"/>
        <v>21,0353732052265</v>
      </c>
      <c r="AF178" t="str">
        <f t="shared" si="162"/>
        <v>1+1,35074580734047i</v>
      </c>
      <c r="AG178">
        <f t="shared" si="181"/>
        <v>1.680629119124103</v>
      </c>
      <c r="AH178">
        <f t="shared" si="182"/>
        <v>0.93351167086141573</v>
      </c>
      <c r="AI178" t="str">
        <f t="shared" si="163"/>
        <v>1+0,0750414337411372i</v>
      </c>
      <c r="AJ178">
        <f t="shared" si="183"/>
        <v>1.002811655685117</v>
      </c>
      <c r="AK178">
        <f t="shared" si="184"/>
        <v>7.4901049563423402E-2</v>
      </c>
      <c r="AL178" t="str">
        <f t="shared" si="164"/>
        <v>1-0,00510592283979607i</v>
      </c>
      <c r="AM178">
        <f t="shared" si="185"/>
        <v>1.0000130351390655</v>
      </c>
      <c r="AN178">
        <f t="shared" si="186"/>
        <v>-5.1058784692580832E-3</v>
      </c>
      <c r="AO178" s="58" t="str">
        <f t="shared" si="187"/>
        <v>8,15380617666858-9,54259993489401i</v>
      </c>
      <c r="AP178">
        <f t="shared" si="188"/>
        <v>21.974067435188033</v>
      </c>
      <c r="AQ178" s="60">
        <f t="shared" si="189"/>
        <v>-49.487310132475599</v>
      </c>
      <c r="AR178" t="str">
        <f t="shared" si="165"/>
        <v>-1,05811623246493</v>
      </c>
      <c r="AS178" t="str">
        <f t="shared" si="166"/>
        <v>1+0,0739608370952648i</v>
      </c>
      <c r="AT178">
        <f t="shared" si="190"/>
        <v>1.002731372514011</v>
      </c>
      <c r="AU178">
        <f t="shared" si="191"/>
        <v>7.382641767724285E-2</v>
      </c>
      <c r="AV178" t="str">
        <f t="shared" si="167"/>
        <v>1+0,0739608370952648i</v>
      </c>
      <c r="AW178">
        <f t="shared" si="192"/>
        <v>1.002731372514011</v>
      </c>
      <c r="AX178">
        <f t="shared" si="193"/>
        <v>7.382641767724285E-2</v>
      </c>
      <c r="AY178" t="str">
        <f t="shared" si="168"/>
        <v>1-0,344162484555967i</v>
      </c>
      <c r="AZ178">
        <f t="shared" si="194"/>
        <v>1.0575669320547689</v>
      </c>
      <c r="BA178">
        <f t="shared" si="195"/>
        <v>-0.33146492439974345</v>
      </c>
      <c r="BB178" s="58" t="str">
        <f t="shared" si="196"/>
        <v>-1,02557227371525+0,440016095379803i</v>
      </c>
      <c r="BC178">
        <f t="shared" si="197"/>
        <v>0.9531327363545421</v>
      </c>
      <c r="BD178" s="60">
        <f t="shared" si="198"/>
        <v>156.77851662579579</v>
      </c>
      <c r="BE178" s="58" t="str">
        <f t="shared" si="199"/>
        <v>0,0993529446266672+5,33594666226844i</v>
      </c>
      <c r="BF178" s="37">
        <f t="shared" si="200"/>
        <v>14.545734980027605</v>
      </c>
      <c r="BG178" s="60">
        <f t="shared" si="201"/>
        <v>88.933301424132125</v>
      </c>
      <c r="BH178" s="58" t="str">
        <f t="shared" si="202"/>
        <v>-4,16341997691582+13,3744318687257i</v>
      </c>
      <c r="BI178" s="37">
        <f t="shared" si="203"/>
        <v>22.927200171542591</v>
      </c>
      <c r="BJ178" s="60">
        <f t="shared" si="204"/>
        <v>107.29120649332015</v>
      </c>
      <c r="BK178">
        <f t="shared" si="205"/>
        <v>14.545734980027605</v>
      </c>
      <c r="BL178" s="60">
        <f t="shared" si="206"/>
        <v>88.933301424132125</v>
      </c>
      <c r="BN178">
        <f t="shared" si="207"/>
        <v>0</v>
      </c>
      <c r="BO178">
        <f t="shared" si="208"/>
        <v>0</v>
      </c>
    </row>
    <row r="179" spans="13:67" x14ac:dyDescent="0.25">
      <c r="M179" s="66">
        <v>61</v>
      </c>
      <c r="N179" s="36">
        <f t="shared" si="156"/>
        <v>407.38027780411272</v>
      </c>
      <c r="O179" s="91" t="str">
        <f t="shared" si="157"/>
        <v>13,7404580152672</v>
      </c>
      <c r="P179" s="67" t="str">
        <f t="shared" si="158"/>
        <v>1+2,76441743800822i</v>
      </c>
      <c r="Q179" s="67">
        <f t="shared" si="169"/>
        <v>2.9397285200446537</v>
      </c>
      <c r="R179" s="67">
        <f t="shared" si="170"/>
        <v>1.2237013493133777</v>
      </c>
      <c r="S179" s="67" t="str">
        <f t="shared" si="159"/>
        <v>1+0,0767893732780063i</v>
      </c>
      <c r="T179" s="67">
        <f t="shared" si="171"/>
        <v>1.0029439704432292</v>
      </c>
      <c r="U179" s="67">
        <f t="shared" si="172"/>
        <v>7.6638972758508464E-2</v>
      </c>
      <c r="V179" t="str">
        <f t="shared" si="160"/>
        <v>1-0,0159977860995846i</v>
      </c>
      <c r="W179" s="67">
        <f t="shared" si="173"/>
        <v>1.0001279563936247</v>
      </c>
      <c r="X179" s="67">
        <f t="shared" si="174"/>
        <v>-1.5996421542463203E-2</v>
      </c>
      <c r="Y179" t="str">
        <f t="shared" si="161"/>
        <v>0,999989378643792+0,0277588048270451i</v>
      </c>
      <c r="Z179" s="67">
        <f t="shared" si="175"/>
        <v>1.0003745841662628</v>
      </c>
      <c r="AA179" s="67">
        <f t="shared" si="176"/>
        <v>2.7751972873311284E-2</v>
      </c>
      <c r="AB179" s="92" t="str">
        <f t="shared" si="177"/>
        <v>1,738315761923-4,35236176390656i</v>
      </c>
      <c r="AC179" s="37">
        <f t="shared" si="178"/>
        <v>13.417271466287225</v>
      </c>
      <c r="AD179" s="60">
        <f t="shared" si="179"/>
        <v>-68.228431375337621</v>
      </c>
      <c r="AE179" t="str">
        <f t="shared" si="180"/>
        <v>21,0353732052265</v>
      </c>
      <c r="AF179" t="str">
        <f t="shared" si="162"/>
        <v>1+1,38220871900411i</v>
      </c>
      <c r="AG179">
        <f t="shared" si="181"/>
        <v>1.7060190335664436</v>
      </c>
      <c r="AH179">
        <f t="shared" si="182"/>
        <v>0.94448534023610797</v>
      </c>
      <c r="AI179" t="str">
        <f t="shared" si="163"/>
        <v>1+0,0767893732780063i</v>
      </c>
      <c r="AJ179">
        <f t="shared" si="183"/>
        <v>1.0029439704432292</v>
      </c>
      <c r="AK179">
        <f t="shared" si="184"/>
        <v>7.6638972758508464E-2</v>
      </c>
      <c r="AL179" t="str">
        <f t="shared" si="164"/>
        <v>1-0,00522485506108957i</v>
      </c>
      <c r="AM179">
        <f t="shared" si="185"/>
        <v>1.0000136494620508</v>
      </c>
      <c r="AN179">
        <f t="shared" si="186"/>
        <v>-5.2248075172365814E-3</v>
      </c>
      <c r="AO179" s="58" t="str">
        <f t="shared" si="187"/>
        <v>7,94522024504086-9,47656634815837i</v>
      </c>
      <c r="AP179">
        <f t="shared" si="188"/>
        <v>21.844978981375199</v>
      </c>
      <c r="AQ179" s="60">
        <f t="shared" si="189"/>
        <v>-50.023293541731832</v>
      </c>
      <c r="AR179" t="str">
        <f t="shared" si="165"/>
        <v>-1,05811623246493</v>
      </c>
      <c r="AS179" t="str">
        <f t="shared" si="166"/>
        <v>1+0,0756836063028029i</v>
      </c>
      <c r="AT179">
        <f t="shared" si="190"/>
        <v>1.0028599145758084</v>
      </c>
      <c r="AU179">
        <f t="shared" si="191"/>
        <v>7.5539595476112067E-2</v>
      </c>
      <c r="AV179" t="str">
        <f t="shared" si="167"/>
        <v>1+0,0756836063028029i</v>
      </c>
      <c r="AW179">
        <f t="shared" si="192"/>
        <v>1.0028599145758084</v>
      </c>
      <c r="AX179">
        <f t="shared" si="193"/>
        <v>7.5539595476112067E-2</v>
      </c>
      <c r="AY179" t="str">
        <f t="shared" si="168"/>
        <v>1-0,33632838996472i</v>
      </c>
      <c r="AZ179">
        <f t="shared" si="194"/>
        <v>1.0550434995279867</v>
      </c>
      <c r="BA179">
        <f t="shared" si="195"/>
        <v>-0.32444367902977744</v>
      </c>
      <c r="BB179" s="58" t="str">
        <f t="shared" si="196"/>
        <v>-1,02530938410518+0,43347364062565i</v>
      </c>
      <c r="BC179">
        <f t="shared" si="197"/>
        <v>0.93126940966008165</v>
      </c>
      <c r="BD179" s="60">
        <f t="shared" si="198"/>
        <v>157.08264649498997</v>
      </c>
      <c r="BE179" s="58" t="str">
        <f t="shared" si="199"/>
        <v>0,104322635882855+5,21603142143168i</v>
      </c>
      <c r="BF179" s="37">
        <f t="shared" si="200"/>
        <v>14.348540875947304</v>
      </c>
      <c r="BG179" s="60">
        <f t="shared" si="201"/>
        <v>88.854215119652366</v>
      </c>
      <c r="BH179" s="58" t="str">
        <f t="shared" si="202"/>
        <v>-4,03846716045612+13,1604559510526i</v>
      </c>
      <c r="BI179" s="37">
        <f t="shared" si="203"/>
        <v>22.776248391035274</v>
      </c>
      <c r="BJ179" s="60">
        <f t="shared" si="204"/>
        <v>107.05935295325818</v>
      </c>
      <c r="BK179">
        <f t="shared" si="205"/>
        <v>14.348540875947304</v>
      </c>
      <c r="BL179" s="60">
        <f t="shared" si="206"/>
        <v>88.854215119652366</v>
      </c>
      <c r="BN179">
        <f t="shared" si="207"/>
        <v>0</v>
      </c>
      <c r="BO179">
        <f t="shared" si="208"/>
        <v>0</v>
      </c>
    </row>
    <row r="180" spans="13:67" x14ac:dyDescent="0.25">
      <c r="M180" s="66">
        <v>62</v>
      </c>
      <c r="N180" s="36">
        <f t="shared" si="156"/>
        <v>416.86938347033572</v>
      </c>
      <c r="O180" s="91" t="str">
        <f t="shared" si="157"/>
        <v>13,7404580152672</v>
      </c>
      <c r="P180" s="67" t="str">
        <f t="shared" si="158"/>
        <v>1+2,82880899205254i</v>
      </c>
      <c r="Q180" s="67">
        <f t="shared" si="169"/>
        <v>3.0003600306492064</v>
      </c>
      <c r="R180" s="67">
        <f t="shared" si="170"/>
        <v>1.2310018419501063</v>
      </c>
      <c r="S180" s="67" t="str">
        <f t="shared" si="159"/>
        <v>1+0,078578027557015i</v>
      </c>
      <c r="T180" s="67">
        <f t="shared" si="171"/>
        <v>1.0030825022971694</v>
      </c>
      <c r="U180" s="67">
        <f t="shared" si="172"/>
        <v>7.841689723216852E-2</v>
      </c>
      <c r="V180" t="str">
        <f t="shared" si="160"/>
        <v>1-0,0163704224077114i</v>
      </c>
      <c r="W180" s="67">
        <f t="shared" si="173"/>
        <v>1.0001339863887273</v>
      </c>
      <c r="X180" s="67">
        <f t="shared" si="174"/>
        <v>-1.6368960268991876E-2</v>
      </c>
      <c r="Y180" t="str">
        <f t="shared" si="161"/>
        <v>0,999988878074696+0,0284053904536045i</v>
      </c>
      <c r="Z180" s="67">
        <f t="shared" si="175"/>
        <v>1.0003922343160763</v>
      </c>
      <c r="AA180" s="67">
        <f t="shared" si="176"/>
        <v>2.8398070038264889E-2</v>
      </c>
      <c r="AB180" s="92" t="str">
        <f t="shared" si="177"/>
        <v>1,67546906957939-4,27599937050776i</v>
      </c>
      <c r="AC180" s="37">
        <f t="shared" si="178"/>
        <v>13.241047332115334</v>
      </c>
      <c r="AD180" s="60">
        <f t="shared" si="179"/>
        <v>-68.603214760597297</v>
      </c>
      <c r="AE180" t="str">
        <f t="shared" si="180"/>
        <v>21,0353732052265</v>
      </c>
      <c r="AF180" t="str">
        <f t="shared" si="162"/>
        <v>1+1,41440449602627i</v>
      </c>
      <c r="AG180">
        <f t="shared" si="181"/>
        <v>1.7322067077515104</v>
      </c>
      <c r="AH180">
        <f t="shared" si="182"/>
        <v>0.95538025694754292</v>
      </c>
      <c r="AI180" t="str">
        <f t="shared" si="163"/>
        <v>1+0,078578027557015i</v>
      </c>
      <c r="AJ180">
        <f t="shared" si="183"/>
        <v>1.0030825022971694</v>
      </c>
      <c r="AK180">
        <f t="shared" si="184"/>
        <v>7.841689723216852E-2</v>
      </c>
      <c r="AL180" t="str">
        <f t="shared" si="164"/>
        <v>1-0,0053465575696956i</v>
      </c>
      <c r="AM180">
        <f t="shared" si="185"/>
        <v>1.0000142927367819</v>
      </c>
      <c r="AN180">
        <f t="shared" si="186"/>
        <v>-5.3465066255786028E-3</v>
      </c>
      <c r="AO180" s="58" t="str">
        <f t="shared" si="187"/>
        <v>7,73961729135159-9,40649819285975i</v>
      </c>
      <c r="AP180">
        <f t="shared" si="188"/>
        <v>21.713867349050496</v>
      </c>
      <c r="AQ180" s="60">
        <f t="shared" si="189"/>
        <v>-50.552631564088401</v>
      </c>
      <c r="AR180" t="str">
        <f t="shared" si="165"/>
        <v>-1,05811623246493</v>
      </c>
      <c r="AS180" t="str">
        <f t="shared" si="166"/>
        <v>1+0,0774465039601939i</v>
      </c>
      <c r="AT180">
        <f t="shared" si="190"/>
        <v>1.0029944969817415</v>
      </c>
      <c r="AU180">
        <f t="shared" si="191"/>
        <v>7.7292218450345826E-2</v>
      </c>
      <c r="AV180" t="str">
        <f t="shared" si="167"/>
        <v>1+0,0774465039601939i</v>
      </c>
      <c r="AW180">
        <f t="shared" si="192"/>
        <v>1.0029944969817415</v>
      </c>
      <c r="AX180">
        <f t="shared" si="193"/>
        <v>7.7292218450345826E-2</v>
      </c>
      <c r="AY180" t="str">
        <f t="shared" si="168"/>
        <v>1-0,328672621137665i</v>
      </c>
      <c r="AZ180">
        <f t="shared" si="194"/>
        <v>1.0526279931131906</v>
      </c>
      <c r="BA180">
        <f t="shared" si="195"/>
        <v>-0.3175500649090332</v>
      </c>
      <c r="BB180" s="58" t="str">
        <f t="shared" si="196"/>
        <v>-1,02503424930343+0,427159154640571i</v>
      </c>
      <c r="BC180">
        <f t="shared" si="197"/>
        <v>0.91019483889390351</v>
      </c>
      <c r="BD180" s="60">
        <f t="shared" si="198"/>
        <v>157.37720359019914</v>
      </c>
      <c r="BE180" s="58" t="str">
        <f t="shared" si="199"/>
        <v>0,109119096382283+5,09873775615832i</v>
      </c>
      <c r="BF180" s="37">
        <f t="shared" si="200"/>
        <v>14.151242171009242</v>
      </c>
      <c r="BG180" s="60">
        <f t="shared" si="201"/>
        <v>88.773988829601862</v>
      </c>
      <c r="BH180" s="58" t="str">
        <f t="shared" si="202"/>
        <v>-3,91530098394639+12,9480311931074i</v>
      </c>
      <c r="BI180" s="37">
        <f t="shared" si="203"/>
        <v>22.624062187944428</v>
      </c>
      <c r="BJ180" s="60">
        <f t="shared" si="204"/>
        <v>106.82457202611069</v>
      </c>
      <c r="BK180">
        <f t="shared" si="205"/>
        <v>14.151242171009242</v>
      </c>
      <c r="BL180" s="60">
        <f t="shared" si="206"/>
        <v>88.773988829601862</v>
      </c>
      <c r="BN180">
        <f t="shared" si="207"/>
        <v>0</v>
      </c>
      <c r="BO180">
        <f t="shared" si="208"/>
        <v>0</v>
      </c>
    </row>
    <row r="181" spans="13:67" x14ac:dyDescent="0.25">
      <c r="M181" s="66">
        <v>63</v>
      </c>
      <c r="N181" s="36">
        <f t="shared" si="156"/>
        <v>426.57951880159294</v>
      </c>
      <c r="O181" s="91" t="str">
        <f t="shared" si="157"/>
        <v>13,7404580152672</v>
      </c>
      <c r="P181" s="67" t="str">
        <f t="shared" si="158"/>
        <v>1+2,89470041806814i</v>
      </c>
      <c r="Q181" s="67">
        <f t="shared" si="169"/>
        <v>3.0625627357433611</v>
      </c>
      <c r="R181" s="67">
        <f t="shared" si="170"/>
        <v>1.2381727518112926</v>
      </c>
      <c r="S181" s="67" t="str">
        <f t="shared" si="159"/>
        <v>1+0,0804083449463374i</v>
      </c>
      <c r="T181" s="67">
        <f t="shared" si="171"/>
        <v>1.0032275424533605</v>
      </c>
      <c r="U181" s="67">
        <f t="shared" si="172"/>
        <v>8.0235720678000638E-2</v>
      </c>
      <c r="V181" t="str">
        <f t="shared" si="160"/>
        <v>1-0,0167517385304869i</v>
      </c>
      <c r="W181" s="67">
        <f t="shared" si="173"/>
        <v>1.0001403005297775</v>
      </c>
      <c r="X181" s="67">
        <f t="shared" si="174"/>
        <v>-1.6750171832491792E-2</v>
      </c>
      <c r="Y181" t="str">
        <f t="shared" si="161"/>
        <v>0,999988353914505+0,0290670369941721i</v>
      </c>
      <c r="Z181" s="67">
        <f t="shared" si="175"/>
        <v>1.0004107159583318</v>
      </c>
      <c r="AA181" s="67">
        <f t="shared" si="176"/>
        <v>2.9059193201693312E-2</v>
      </c>
      <c r="AB181" s="92" t="str">
        <f t="shared" si="177"/>
        <v>1,6148324240268-4,20011744604614i</v>
      </c>
      <c r="AC181" s="37">
        <f t="shared" si="178"/>
        <v>13.06396509407551</v>
      </c>
      <c r="AD181" s="60">
        <f t="shared" si="179"/>
        <v>-68.969588104479172</v>
      </c>
      <c r="AE181" t="str">
        <f t="shared" si="180"/>
        <v>21,0353732052265</v>
      </c>
      <c r="AF181" t="str">
        <f t="shared" si="162"/>
        <v>1+1,44735020903407i</v>
      </c>
      <c r="AG181">
        <f t="shared" si="181"/>
        <v>1.7592107968037731</v>
      </c>
      <c r="AH181">
        <f t="shared" si="182"/>
        <v>0.96619185207873237</v>
      </c>
      <c r="AI181" t="str">
        <f t="shared" si="163"/>
        <v>1+0,0804083449463374i</v>
      </c>
      <c r="AJ181">
        <f t="shared" si="183"/>
        <v>1.0032275424533605</v>
      </c>
      <c r="AK181">
        <f t="shared" si="184"/>
        <v>8.0235720678000638E-2</v>
      </c>
      <c r="AL181" t="str">
        <f t="shared" si="164"/>
        <v>1-0,00547109489389513i</v>
      </c>
      <c r="AM181">
        <f t="shared" si="185"/>
        <v>1.0000149663276736</v>
      </c>
      <c r="AN181">
        <f t="shared" si="186"/>
        <v>-5.4710403063344022E-3</v>
      </c>
      <c r="AO181" s="58" t="str">
        <f t="shared" si="187"/>
        <v>7,53714698954054-9,33255824900551i</v>
      </c>
      <c r="AP181">
        <f t="shared" si="188"/>
        <v>21.580765725524387</v>
      </c>
      <c r="AQ181" s="60">
        <f t="shared" si="189"/>
        <v>-51.075014682098647</v>
      </c>
      <c r="AR181" t="str">
        <f t="shared" si="165"/>
        <v>-1,05811623246493</v>
      </c>
      <c r="AS181" t="str">
        <f t="shared" si="166"/>
        <v>1+0,0792504647791101i</v>
      </c>
      <c r="AT181">
        <f t="shared" si="190"/>
        <v>1.0031354027087793</v>
      </c>
      <c r="AU181">
        <f t="shared" si="191"/>
        <v>7.9085172771685044E-2</v>
      </c>
      <c r="AV181" t="str">
        <f t="shared" si="167"/>
        <v>1+0,0792504647791101i</v>
      </c>
      <c r="AW181">
        <f t="shared" si="192"/>
        <v>1.0031354027087793</v>
      </c>
      <c r="AX181">
        <f t="shared" si="193"/>
        <v>7.9085172771685044E-2</v>
      </c>
      <c r="AY181" t="str">
        <f t="shared" si="168"/>
        <v>1-0,321191118884833i</v>
      </c>
      <c r="AZ181">
        <f t="shared" si="194"/>
        <v>1.0503160166590297</v>
      </c>
      <c r="BA181">
        <f t="shared" si="195"/>
        <v>-0.31078304861655037</v>
      </c>
      <c r="BB181" s="58" t="str">
        <f t="shared" si="196"/>
        <v>-1,02474630601717+0,421069157648152i</v>
      </c>
      <c r="BC181">
        <f t="shared" si="197"/>
        <v>0.88987614674201343</v>
      </c>
      <c r="BD181" s="60">
        <f t="shared" si="198"/>
        <v>157.66219634818216</v>
      </c>
      <c r="BE181" s="58" t="str">
        <f t="shared" si="199"/>
        <v>0,11374635367174+4,98401096620194i</v>
      </c>
      <c r="BF181" s="37">
        <f t="shared" si="200"/>
        <v>13.953841240817519</v>
      </c>
      <c r="BG181" s="60">
        <f t="shared" si="201"/>
        <v>88.692608243702992</v>
      </c>
      <c r="BH181" s="58" t="str">
        <f t="shared" si="202"/>
        <v>-3,79401109482904+12,7371647253146i</v>
      </c>
      <c r="BI181" s="37">
        <f t="shared" si="203"/>
        <v>22.470641872266395</v>
      </c>
      <c r="BJ181" s="60">
        <f t="shared" si="204"/>
        <v>106.58718166608352</v>
      </c>
      <c r="BK181">
        <f t="shared" si="205"/>
        <v>13.953841240817519</v>
      </c>
      <c r="BL181" s="60">
        <f t="shared" si="206"/>
        <v>88.692608243702992</v>
      </c>
      <c r="BN181">
        <f t="shared" si="207"/>
        <v>0</v>
      </c>
      <c r="BO181">
        <f t="shared" si="208"/>
        <v>0</v>
      </c>
    </row>
    <row r="182" spans="13:67" x14ac:dyDescent="0.25">
      <c r="M182" s="66">
        <v>64</v>
      </c>
      <c r="N182" s="36">
        <f t="shared" si="156"/>
        <v>436.51583224016622</v>
      </c>
      <c r="O182" s="91" t="str">
        <f t="shared" si="157"/>
        <v>13,7404580152672</v>
      </c>
      <c r="P182" s="67" t="str">
        <f t="shared" si="158"/>
        <v>1+2,96212665256129i</v>
      </c>
      <c r="Q182" s="67">
        <f t="shared" si="169"/>
        <v>3.1263707882805507</v>
      </c>
      <c r="R182" s="67">
        <f t="shared" si="170"/>
        <v>1.2452149301352224</v>
      </c>
      <c r="S182" s="67" t="str">
        <f t="shared" si="159"/>
        <v>1+0,0822812959044805i</v>
      </c>
      <c r="T182" s="67">
        <f t="shared" si="171"/>
        <v>1.0033793956703121</v>
      </c>
      <c r="U182" s="67">
        <f t="shared" si="172"/>
        <v>8.2096359298342803E-2</v>
      </c>
      <c r="V182" t="str">
        <f t="shared" si="160"/>
        <v>1-0,0171419366467667i</v>
      </c>
      <c r="W182" s="67">
        <f t="shared" si="173"/>
        <v>1.0001469122044029</v>
      </c>
      <c r="X182" s="67">
        <f t="shared" si="174"/>
        <v>-1.7140257912937353E-2</v>
      </c>
      <c r="Y182" t="str">
        <f t="shared" si="161"/>
        <v>0,999987805051405+0,0297440952625017i</v>
      </c>
      <c r="Z182" s="67">
        <f t="shared" si="175"/>
        <v>1.0004300682479068</v>
      </c>
      <c r="AA182" s="67">
        <f t="shared" si="176"/>
        <v>2.9735690682520396E-2</v>
      </c>
      <c r="AB182" s="92" t="str">
        <f t="shared" si="177"/>
        <v>1,55635207268399-4,1247697335262i</v>
      </c>
      <c r="AC182" s="37">
        <f t="shared" si="178"/>
        <v>12.886059324385696</v>
      </c>
      <c r="AD182" s="60">
        <f t="shared" si="179"/>
        <v>-69.327579197433195</v>
      </c>
      <c r="AE182" t="str">
        <f t="shared" si="180"/>
        <v>21,0353732052265</v>
      </c>
      <c r="AF182" t="str">
        <f t="shared" si="162"/>
        <v>1+1,48106332628065i</v>
      </c>
      <c r="AG182">
        <f t="shared" si="181"/>
        <v>1.7870502445240601</v>
      </c>
      <c r="AH182">
        <f t="shared" si="182"/>
        <v>0.97691574799285785</v>
      </c>
      <c r="AI182" t="str">
        <f t="shared" si="163"/>
        <v>1+0,0822812959044805i</v>
      </c>
      <c r="AJ182">
        <f t="shared" si="183"/>
        <v>1.0033793956703121</v>
      </c>
      <c r="AK182">
        <f t="shared" si="184"/>
        <v>8.2096359298342803E-2</v>
      </c>
      <c r="AL182" t="str">
        <f t="shared" si="164"/>
        <v>1-0,00559853306502589i</v>
      </c>
      <c r="AM182">
        <f t="shared" si="185"/>
        <v>1.0000156716634396</v>
      </c>
      <c r="AN182">
        <f t="shared" si="186"/>
        <v>-5.5984745734502517E-3</v>
      </c>
      <c r="AO182" s="58" t="str">
        <f t="shared" si="187"/>
        <v>7,33794795198766-9,25491506710933i</v>
      </c>
      <c r="AP182">
        <f t="shared" si="188"/>
        <v>21.445708859305526</v>
      </c>
      <c r="AQ182" s="60">
        <f t="shared" si="189"/>
        <v>-51.590143363442067</v>
      </c>
      <c r="AR182" t="str">
        <f t="shared" si="165"/>
        <v>-1,05811623246493</v>
      </c>
      <c r="AS182" t="str">
        <f t="shared" si="166"/>
        <v>1+0,0810964452434559i</v>
      </c>
      <c r="AT182">
        <f t="shared" si="190"/>
        <v>1.0032829279077387</v>
      </c>
      <c r="AU182">
        <f t="shared" si="191"/>
        <v>8.0919362952224988E-2</v>
      </c>
      <c r="AV182" t="str">
        <f t="shared" si="167"/>
        <v>1+0,0810964452434559i</v>
      </c>
      <c r="AW182">
        <f t="shared" si="192"/>
        <v>1.0032829279077387</v>
      </c>
      <c r="AX182">
        <f t="shared" si="193"/>
        <v>8.0919362952224988E-2</v>
      </c>
      <c r="AY182" t="str">
        <f t="shared" si="168"/>
        <v>1-0,313879916414703i</v>
      </c>
      <c r="AZ182">
        <f t="shared" si="194"/>
        <v>1.0481033355201677</v>
      </c>
      <c r="BA182">
        <f t="shared" si="195"/>
        <v>-0.3041415220762011</v>
      </c>
      <c r="BB182" s="58" t="str">
        <f t="shared" si="196"/>
        <v>-1,02444496571956+0,415200279670543i</v>
      </c>
      <c r="BC182">
        <f t="shared" si="197"/>
        <v>0.87028115510794601</v>
      </c>
      <c r="BD182" s="60">
        <f t="shared" si="198"/>
        <v>157.93763643229894</v>
      </c>
      <c r="BE182" s="58" t="str">
        <f t="shared" si="199"/>
        <v>0,118208501188354+4,87179740410755i</v>
      </c>
      <c r="BF182" s="37">
        <f t="shared" si="200"/>
        <v>13.756340479493645</v>
      </c>
      <c r="BG182" s="60">
        <f t="shared" si="201"/>
        <v>88.610057234865764</v>
      </c>
      <c r="BH182" s="58" t="str">
        <f t="shared" si="202"/>
        <v>-3,674680513935+12,5278691905354i</v>
      </c>
      <c r="BI182" s="37">
        <f t="shared" si="203"/>
        <v>22.315990014413455</v>
      </c>
      <c r="BJ182" s="60">
        <f t="shared" si="204"/>
        <v>106.34749306885692</v>
      </c>
      <c r="BK182">
        <f t="shared" si="205"/>
        <v>13.756340479493645</v>
      </c>
      <c r="BL182" s="60">
        <f t="shared" si="206"/>
        <v>88.610057234865764</v>
      </c>
      <c r="BN182">
        <f t="shared" si="207"/>
        <v>0</v>
      </c>
      <c r="BO182">
        <f t="shared" si="208"/>
        <v>0</v>
      </c>
    </row>
    <row r="183" spans="13:67" x14ac:dyDescent="0.25">
      <c r="M183" s="66">
        <v>65</v>
      </c>
      <c r="N183" s="36">
        <f t="shared" si="156"/>
        <v>446.68359215096331</v>
      </c>
      <c r="O183" s="91" t="str">
        <f t="shared" si="157"/>
        <v>13,7404580152672</v>
      </c>
      <c r="P183" s="67" t="str">
        <f t="shared" si="158"/>
        <v>1+3,03112344581402i</v>
      </c>
      <c r="Q183" s="67">
        <f t="shared" si="169"/>
        <v>3.1918191276705294</v>
      </c>
      <c r="R183" s="67">
        <f t="shared" si="170"/>
        <v>1.2521293159650082</v>
      </c>
      <c r="S183" s="67" t="str">
        <f t="shared" si="159"/>
        <v>1+0,084197873494834i</v>
      </c>
      <c r="T183" s="67">
        <f t="shared" si="171"/>
        <v>1.0035383808808969</v>
      </c>
      <c r="U183" s="67">
        <f t="shared" si="172"/>
        <v>8.3999748067816737E-2</v>
      </c>
      <c r="V183" t="str">
        <f t="shared" si="160"/>
        <v>1-0,0175412236447571i</v>
      </c>
      <c r="W183" s="67">
        <f t="shared" si="173"/>
        <v>1.0001538354308077</v>
      </c>
      <c r="X183" s="67">
        <f t="shared" si="174"/>
        <v>-1.7539424863993226E-2</v>
      </c>
      <c r="Y183" t="str">
        <f t="shared" si="161"/>
        <v>0,999987230321184+0,0304369242438492i</v>
      </c>
      <c r="Z183" s="67">
        <f t="shared" si="175"/>
        <v>1.0004503321818921</v>
      </c>
      <c r="AA183" s="67">
        <f t="shared" si="176"/>
        <v>3.042791879302453E-2</v>
      </c>
      <c r="AB183" s="92" t="str">
        <f t="shared" si="177"/>
        <v>1,49997360498383-4,05000628763569i</v>
      </c>
      <c r="AC183" s="37">
        <f t="shared" si="178"/>
        <v>12.707363907998616</v>
      </c>
      <c r="AD183" s="60">
        <f t="shared" si="179"/>
        <v>-69.677220510950306</v>
      </c>
      <c r="AE183" t="str">
        <f t="shared" si="180"/>
        <v>21,0353732052265</v>
      </c>
      <c r="AF183" t="str">
        <f t="shared" si="162"/>
        <v>1+1,51556172290701i</v>
      </c>
      <c r="AG183">
        <f t="shared" si="181"/>
        <v>1.8157442925535701</v>
      </c>
      <c r="AH183">
        <f t="shared" si="182"/>
        <v>0.98754776449703729</v>
      </c>
      <c r="AI183" t="str">
        <f t="shared" si="163"/>
        <v>1+0,084197873494834i</v>
      </c>
      <c r="AJ183">
        <f t="shared" si="183"/>
        <v>1.0035383808808969</v>
      </c>
      <c r="AK183">
        <f t="shared" si="184"/>
        <v>8.3999748067816737E-2</v>
      </c>
      <c r="AL183" t="str">
        <f t="shared" si="164"/>
        <v>1-0,00572893965249309i</v>
      </c>
      <c r="AM183">
        <f t="shared" si="185"/>
        <v>1.000016410240123</v>
      </c>
      <c r="AN183">
        <f t="shared" si="186"/>
        <v>-5.7288769776961471E-3</v>
      </c>
      <c r="AO183" s="58" t="str">
        <f t="shared" si="187"/>
        <v>7,1421475298238-9,17374210716594i</v>
      </c>
      <c r="AP183">
        <f t="shared" si="188"/>
        <v>21.308732953252793</v>
      </c>
      <c r="AQ183" s="60">
        <f t="shared" si="189"/>
        <v>-52.097728400983179</v>
      </c>
      <c r="AR183" t="str">
        <f t="shared" si="165"/>
        <v>-1,05811623246493</v>
      </c>
      <c r="AS183" t="str">
        <f t="shared" si="166"/>
        <v>1+0,0829854241165083i</v>
      </c>
      <c r="AT183">
        <f t="shared" si="190"/>
        <v>1.0034373825086429</v>
      </c>
      <c r="AU183">
        <f t="shared" si="191"/>
        <v>8.2795712110901101E-2</v>
      </c>
      <c r="AV183" t="str">
        <f t="shared" si="167"/>
        <v>1+0,0829854241165083i</v>
      </c>
      <c r="AW183">
        <f t="shared" si="192"/>
        <v>1.0034373825086429</v>
      </c>
      <c r="AX183">
        <f t="shared" si="193"/>
        <v>8.2795712110901101E-2</v>
      </c>
      <c r="AY183" t="str">
        <f t="shared" si="168"/>
        <v>1-0,306735137230946i</v>
      </c>
      <c r="AZ183">
        <f t="shared" si="194"/>
        <v>1.0459858719944966</v>
      </c>
      <c r="BA183">
        <f t="shared" si="195"/>
        <v>-0.29762430834711856</v>
      </c>
      <c r="BB183" s="58" t="str">
        <f t="shared" si="196"/>
        <v>-1,02412961358448+0,409549258105006i</v>
      </c>
      <c r="BC183">
        <f t="shared" si="197"/>
        <v>0.85137838244712538</v>
      </c>
      <c r="BD183" s="60">
        <f t="shared" si="198"/>
        <v>158.20353838547496</v>
      </c>
      <c r="BE183" s="58" t="str">
        <f t="shared" si="199"/>
        <v>0,122509681962797+4,76204445146927i</v>
      </c>
      <c r="BF183" s="37">
        <f t="shared" si="200"/>
        <v>13.558742290445737</v>
      </c>
      <c r="BG183" s="60">
        <f t="shared" si="201"/>
        <v>88.526317874524651</v>
      </c>
      <c r="BH183" s="58" t="str">
        <f t="shared" si="202"/>
        <v>-3,55738551584533+12,3201621814514i</v>
      </c>
      <c r="BI183" s="37">
        <f t="shared" si="203"/>
        <v>22.160111335699938</v>
      </c>
      <c r="BJ183" s="60">
        <f t="shared" si="204"/>
        <v>106.10580998449171</v>
      </c>
      <c r="BK183">
        <f t="shared" si="205"/>
        <v>13.558742290445737</v>
      </c>
      <c r="BL183" s="60">
        <f t="shared" si="206"/>
        <v>88.526317874524651</v>
      </c>
      <c r="BN183">
        <f t="shared" si="207"/>
        <v>0</v>
      </c>
      <c r="BO183">
        <f t="shared" si="208"/>
        <v>0</v>
      </c>
    </row>
    <row r="184" spans="13:67" x14ac:dyDescent="0.25">
      <c r="M184" s="66">
        <v>66</v>
      </c>
      <c r="N184" s="36">
        <f t="shared" ref="N184:N218" si="209">10^(2+(M184/100))</f>
        <v>457.0881896148756</v>
      </c>
      <c r="O184" s="91" t="str">
        <f t="shared" si="157"/>
        <v>13,7404580152672</v>
      </c>
      <c r="P184" s="67" t="str">
        <f t="shared" si="158"/>
        <v>1+3,10172738083938i</v>
      </c>
      <c r="Q184" s="67">
        <f t="shared" si="169"/>
        <v>3.2589435013587948</v>
      </c>
      <c r="R184" s="67">
        <f t="shared" si="170"/>
        <v>1.2589169299687064</v>
      </c>
      <c r="S184" s="67" t="str">
        <f t="shared" si="159"/>
        <v>1+0,0861590939122051i</v>
      </c>
      <c r="T184" s="67">
        <f t="shared" si="171"/>
        <v>1.0037048318423958</v>
      </c>
      <c r="U184" s="67">
        <f t="shared" si="172"/>
        <v>8.5946840991522416E-2</v>
      </c>
      <c r="V184" t="str">
        <f t="shared" si="160"/>
        <v>1-0,0179498112317094i</v>
      </c>
      <c r="W184" s="67">
        <f t="shared" si="173"/>
        <v>1.0001610848874565</v>
      </c>
      <c r="X184" s="67">
        <f t="shared" si="174"/>
        <v>-1.794788382016058E-2</v>
      </c>
      <c r="Y184" t="str">
        <f t="shared" si="161"/>
        <v>0,999986628504762+0,0311458912853111i</v>
      </c>
      <c r="Z184" s="67">
        <f t="shared" si="175"/>
        <v>1.0004715506861139</v>
      </c>
      <c r="AA184" s="67">
        <f t="shared" si="176"/>
        <v>3.1136242016470382E-2</v>
      </c>
      <c r="AB184" s="92" t="str">
        <f t="shared" si="177"/>
        <v>1,44564215116753-3,97587357337011i</v>
      </c>
      <c r="AC184" s="37">
        <f t="shared" si="178"/>
        <v>12.527912039264049</v>
      </c>
      <c r="AD184" s="60">
        <f t="shared" si="179"/>
        <v>-70.018548845005228</v>
      </c>
      <c r="AE184" t="str">
        <f t="shared" si="180"/>
        <v>21,0353732052265</v>
      </c>
      <c r="AF184" t="str">
        <f t="shared" si="162"/>
        <v>1+1,55086369041969i</v>
      </c>
      <c r="AG184">
        <f t="shared" si="181"/>
        <v>1.8453124901387785</v>
      </c>
      <c r="AH184">
        <f t="shared" si="182"/>
        <v>0.99808392401321755</v>
      </c>
      <c r="AI184" t="str">
        <f t="shared" si="163"/>
        <v>1+0,0861590939122051i</v>
      </c>
      <c r="AJ184">
        <f t="shared" si="183"/>
        <v>1.0037048318423958</v>
      </c>
      <c r="AK184">
        <f t="shared" si="184"/>
        <v>8.5946840991522416E-2</v>
      </c>
      <c r="AL184" t="str">
        <f t="shared" si="164"/>
        <v>1-0,00586238379959552i</v>
      </c>
      <c r="AM184">
        <f t="shared" si="185"/>
        <v>1.0000171836242684</v>
      </c>
      <c r="AN184">
        <f t="shared" si="186"/>
        <v>-5.8623166424029687E-3</v>
      </c>
      <c r="AO184" s="58" t="str">
        <f t="shared" si="187"/>
        <v>6,9498616880823-9,08921688111509i</v>
      </c>
      <c r="AP184">
        <f t="shared" si="188"/>
        <v>21.169875556317628</v>
      </c>
      <c r="AQ184" s="60">
        <f t="shared" si="189"/>
        <v>-52.597491196296076</v>
      </c>
      <c r="AR184" t="str">
        <f t="shared" si="165"/>
        <v>-1,05811623246493</v>
      </c>
      <c r="AS184" t="str">
        <f t="shared" si="166"/>
        <v>1+0,0849184029598693i</v>
      </c>
      <c r="AT184">
        <f t="shared" si="190"/>
        <v>1.0035990908531427</v>
      </c>
      <c r="AU184">
        <f t="shared" si="191"/>
        <v>8.4715162235151117E-2</v>
      </c>
      <c r="AV184" t="str">
        <f t="shared" si="167"/>
        <v>1+0,0849184029598693i</v>
      </c>
      <c r="AW184">
        <f t="shared" si="192"/>
        <v>1.0035990908531427</v>
      </c>
      <c r="AX184">
        <f t="shared" si="193"/>
        <v>8.4715162235151117E-2</v>
      </c>
      <c r="AY184" t="str">
        <f t="shared" si="168"/>
        <v>1-0,299752993077069i</v>
      </c>
      <c r="AZ184">
        <f t="shared" si="194"/>
        <v>1.0439597007828709</v>
      </c>
      <c r="BA184">
        <f t="shared" si="195"/>
        <v>-0.29123016721891953</v>
      </c>
      <c r="BB184" s="58" t="str">
        <f t="shared" si="196"/>
        <v>-1,02379960738258+0,404112935314664i</v>
      </c>
      <c r="BC184">
        <f t="shared" si="197"/>
        <v>0.83313703849869847</v>
      </c>
      <c r="BD184" s="60">
        <f t="shared" si="198"/>
        <v>158.45991929462645</v>
      </c>
      <c r="BE184" s="58" t="str">
        <f t="shared" si="199"/>
        <v>0,126654073393572+4,65470049654201i</v>
      </c>
      <c r="BF184" s="37">
        <f t="shared" si="200"/>
        <v>13.361049077762745</v>
      </c>
      <c r="BG184" s="60">
        <f t="shared" si="201"/>
        <v>88.441370449621203</v>
      </c>
      <c r="BH184" s="58" t="str">
        <f t="shared" si="202"/>
        <v>-3,44219555408288+12,1140656811026i</v>
      </c>
      <c r="BI184" s="37">
        <f t="shared" si="203"/>
        <v>22.003012594816319</v>
      </c>
      <c r="BJ184" s="60">
        <f t="shared" si="204"/>
        <v>105.86242809833038</v>
      </c>
      <c r="BK184">
        <f t="shared" si="205"/>
        <v>13.361049077762745</v>
      </c>
      <c r="BL184" s="60">
        <f t="shared" si="206"/>
        <v>88.441370449621203</v>
      </c>
      <c r="BN184">
        <f t="shared" si="207"/>
        <v>0</v>
      </c>
      <c r="BO184">
        <f t="shared" si="208"/>
        <v>0</v>
      </c>
    </row>
    <row r="185" spans="13:67" x14ac:dyDescent="0.25">
      <c r="M185" s="66">
        <v>67</v>
      </c>
      <c r="N185" s="36">
        <f t="shared" si="209"/>
        <v>467.7351412871983</v>
      </c>
      <c r="O185" s="91" t="str">
        <f t="shared" si="157"/>
        <v>13,7404580152672</v>
      </c>
      <c r="P185" s="67" t="str">
        <f t="shared" si="158"/>
        <v>1+3,17397589277827i</v>
      </c>
      <c r="Q185" s="67">
        <f t="shared" si="169"/>
        <v>3.3277804867415179</v>
      </c>
      <c r="R185" s="67">
        <f t="shared" si="170"/>
        <v>1.2655788684330016</v>
      </c>
      <c r="S185" s="67" t="str">
        <f t="shared" si="159"/>
        <v>1+0,0881659970216188i</v>
      </c>
      <c r="T185" s="67">
        <f t="shared" si="171"/>
        <v>1.003879097815477</v>
      </c>
      <c r="U185" s="67">
        <f t="shared" si="172"/>
        <v>8.7938611356998861E-2</v>
      </c>
      <c r="V185" t="str">
        <f t="shared" si="160"/>
        <v>1-0,0183679160461706i</v>
      </c>
      <c r="W185" s="67">
        <f t="shared" si="173"/>
        <v>1.0001686759441526</v>
      </c>
      <c r="X185" s="67">
        <f t="shared" si="174"/>
        <v>-1.8365850806297771E-2</v>
      </c>
      <c r="Y185" t="str">
        <f t="shared" si="161"/>
        <v>0,999985998325607+0,031871372290597i</v>
      </c>
      <c r="Z185" s="67">
        <f t="shared" si="175"/>
        <v>1.0004937687057061</v>
      </c>
      <c r="AA185" s="67">
        <f t="shared" si="176"/>
        <v>3.1861033188270015E-2</v>
      </c>
      <c r="AB185" s="92" t="str">
        <f t="shared" si="177"/>
        <v>1,39330256716085-3,90241457191771i</v>
      </c>
      <c r="AC185" s="37">
        <f t="shared" si="178"/>
        <v>12.347736221619154</v>
      </c>
      <c r="AD185" s="60">
        <f t="shared" si="179"/>
        <v>-70.351604986138156</v>
      </c>
      <c r="AE185" t="str">
        <f t="shared" si="180"/>
        <v>21,0353732052265</v>
      </c>
      <c r="AF185" t="str">
        <f t="shared" si="162"/>
        <v>1+1,58698794638914i</v>
      </c>
      <c r="AG185">
        <f t="shared" si="181"/>
        <v>1.8757747044846351</v>
      </c>
      <c r="AH185">
        <f t="shared" si="182"/>
        <v>1.0085204557642304</v>
      </c>
      <c r="AI185" t="str">
        <f t="shared" si="163"/>
        <v>1+0,0881659970216188i</v>
      </c>
      <c r="AJ185">
        <f t="shared" si="183"/>
        <v>1.003879097815477</v>
      </c>
      <c r="AK185">
        <f t="shared" si="184"/>
        <v>8.7938611356998861E-2</v>
      </c>
      <c r="AL185" t="str">
        <f t="shared" si="164"/>
        <v>1-0,00599893626018631i</v>
      </c>
      <c r="AM185">
        <f t="shared" si="185"/>
        <v>1.0000179934562448</v>
      </c>
      <c r="AN185">
        <f t="shared" si="186"/>
        <v>-5.9988643000279361E-3</v>
      </c>
      <c r="AO185" s="58" t="str">
        <f t="shared" si="187"/>
        <v>6,76119495328979-9,00152010576472i</v>
      </c>
      <c r="AP185">
        <f t="shared" si="188"/>
        <v>21.029175454624223</v>
      </c>
      <c r="AQ185" s="60">
        <f t="shared" si="189"/>
        <v>-53.089163987166692</v>
      </c>
      <c r="AR185" t="str">
        <f t="shared" si="165"/>
        <v>-1,05811623246493</v>
      </c>
      <c r="AS185" t="str">
        <f t="shared" si="166"/>
        <v>1+0,0868964066645074i</v>
      </c>
      <c r="AT185">
        <f t="shared" si="190"/>
        <v>1.0037683923551306</v>
      </c>
      <c r="AU185">
        <f t="shared" si="191"/>
        <v>8.6678674436910103E-2</v>
      </c>
      <c r="AV185" t="str">
        <f t="shared" si="167"/>
        <v>1+0,0868964066645074i</v>
      </c>
      <c r="AW185">
        <f t="shared" si="192"/>
        <v>1.0037683923551306</v>
      </c>
      <c r="AX185">
        <f t="shared" si="193"/>
        <v>8.6678674436910103E-2</v>
      </c>
      <c r="AY185" t="str">
        <f t="shared" si="168"/>
        <v>1-0,292929781927821i</v>
      </c>
      <c r="AZ185">
        <f t="shared" si="194"/>
        <v>1.0420210444805234</v>
      </c>
      <c r="BA185">
        <f t="shared" si="195"/>
        <v>-0.28495780060478126</v>
      </c>
      <c r="BB185" s="58" t="str">
        <f t="shared" si="196"/>
        <v>-1,02345427633792+0,398888256229428i</v>
      </c>
      <c r="BC185">
        <f t="shared" si="197"/>
        <v>0.81552701660168936</v>
      </c>
      <c r="BD185" s="60">
        <f t="shared" si="198"/>
        <v>158.70679846699213</v>
      </c>
      <c r="BE185" s="58" t="str">
        <f t="shared" si="199"/>
        <v>0,130645873083191+4,54971491308737i</v>
      </c>
      <c r="BF185" s="37">
        <f t="shared" si="200"/>
        <v>13.163263238220843</v>
      </c>
      <c r="BG185" s="60">
        <f t="shared" si="201"/>
        <v>88.355193480853984</v>
      </c>
      <c r="BH185" s="58" t="str">
        <f t="shared" si="202"/>
        <v>-3,32917322969617+11,9096055107316i</v>
      </c>
      <c r="BI185" s="37">
        <f t="shared" si="203"/>
        <v>21.844702471225887</v>
      </c>
      <c r="BJ185" s="60">
        <f t="shared" si="204"/>
        <v>105.61763447982548</v>
      </c>
      <c r="BK185">
        <f t="shared" si="205"/>
        <v>13.163263238220843</v>
      </c>
      <c r="BL185" s="60">
        <f t="shared" si="206"/>
        <v>88.355193480853984</v>
      </c>
      <c r="BN185">
        <f t="shared" si="207"/>
        <v>0</v>
      </c>
      <c r="BO185">
        <f t="shared" si="208"/>
        <v>0</v>
      </c>
    </row>
    <row r="186" spans="13:67" x14ac:dyDescent="0.25">
      <c r="M186" s="66">
        <v>68</v>
      </c>
      <c r="N186" s="36">
        <f t="shared" si="209"/>
        <v>478.63009232263886</v>
      </c>
      <c r="O186" s="91" t="str">
        <f t="shared" si="157"/>
        <v>13,7404580152672</v>
      </c>
      <c r="P186" s="67" t="str">
        <f t="shared" si="158"/>
        <v>1+3,24790728874806i</v>
      </c>
      <c r="Q186" s="67">
        <f t="shared" si="169"/>
        <v>3.3983675134250522</v>
      </c>
      <c r="R186" s="67">
        <f t="shared" si="170"/>
        <v>1.2721162974416773</v>
      </c>
      <c r="S186" s="67" t="str">
        <f t="shared" si="159"/>
        <v>1+0,0902196469096684i</v>
      </c>
      <c r="T186" s="67">
        <f t="shared" si="171"/>
        <v>1.0040615442733105</v>
      </c>
      <c r="U186" s="67">
        <f t="shared" si="172"/>
        <v>8.997605197899558E-2</v>
      </c>
      <c r="V186" t="str">
        <f t="shared" si="160"/>
        <v>1-0,0187957597728476i</v>
      </c>
      <c r="W186" s="67">
        <f t="shared" si="173"/>
        <v>1.0001766246945778</v>
      </c>
      <c r="X186" s="67">
        <f t="shared" si="174"/>
        <v>-1.8793546849559594E-2</v>
      </c>
      <c r="Y186" t="str">
        <f t="shared" si="161"/>
        <v>0,999985338447022+0,0326137519193389i</v>
      </c>
      <c r="Z186" s="67">
        <f t="shared" si="175"/>
        <v>1.000517033299914</v>
      </c>
      <c r="AA186" s="67">
        <f t="shared" si="176"/>
        <v>3.2602673680712145E-2</v>
      </c>
      <c r="AB186" s="92" t="str">
        <f t="shared" si="177"/>
        <v>1,34289960574145-3,82966889253062i</v>
      </c>
      <c r="AC186" s="37">
        <f t="shared" si="178"/>
        <v>12.16686827010877</v>
      </c>
      <c r="AD186" s="60">
        <f t="shared" si="179"/>
        <v>-70.676433376879032</v>
      </c>
      <c r="AE186" t="str">
        <f t="shared" si="180"/>
        <v>21,0353732052265</v>
      </c>
      <c r="AF186" t="str">
        <f t="shared" si="162"/>
        <v>1+1,62395364437403i</v>
      </c>
      <c r="AG186">
        <f t="shared" si="181"/>
        <v>1.907151131681937</v>
      </c>
      <c r="AH186">
        <f t="shared" si="182"/>
        <v>1.0188537989909139</v>
      </c>
      <c r="AI186" t="str">
        <f t="shared" si="163"/>
        <v>1+0,0902196469096684i</v>
      </c>
      <c r="AJ186">
        <f t="shared" si="183"/>
        <v>1.0040615442733105</v>
      </c>
      <c r="AK186">
        <f t="shared" si="184"/>
        <v>8.997605197899558E-2</v>
      </c>
      <c r="AL186" t="str">
        <f t="shared" si="164"/>
        <v>1-0,00613866943618757i</v>
      </c>
      <c r="AM186">
        <f t="shared" si="185"/>
        <v>1.0000188414537232</v>
      </c>
      <c r="AN186">
        <f t="shared" si="186"/>
        <v>-6.1385923295671271E-3</v>
      </c>
      <c r="AO186" s="58" t="str">
        <f t="shared" si="187"/>
        <v>6,57624043042565-8,91083487265467i</v>
      </c>
      <c r="AP186">
        <f t="shared" si="188"/>
        <v>20.886672562606364</v>
      </c>
      <c r="AQ186" s="60">
        <f t="shared" si="189"/>
        <v>-53.572490020039119</v>
      </c>
      <c r="AR186" t="str">
        <f t="shared" si="165"/>
        <v>-1,05811623246493</v>
      </c>
      <c r="AS186" t="str">
        <f t="shared" si="166"/>
        <v>1+0,0889204839941691i</v>
      </c>
      <c r="AT186">
        <f t="shared" si="190"/>
        <v>1.00394564219073</v>
      </c>
      <c r="AU186">
        <f t="shared" si="191"/>
        <v>8.8687229202026124E-2</v>
      </c>
      <c r="AV186" t="str">
        <f t="shared" si="167"/>
        <v>1+0,0889204839941691i</v>
      </c>
      <c r="AW186">
        <f t="shared" si="192"/>
        <v>1.00394564219073</v>
      </c>
      <c r="AX186">
        <f t="shared" si="193"/>
        <v>8.8687229202026124E-2</v>
      </c>
      <c r="AY186" t="str">
        <f t="shared" si="168"/>
        <v>1-0,286261886026336i</v>
      </c>
      <c r="AZ186">
        <f t="shared" si="194"/>
        <v>1.0401662691086242</v>
      </c>
      <c r="BA186">
        <f t="shared" si="195"/>
        <v>-0.27880585772727268</v>
      </c>
      <c r="BB186" s="58" t="str">
        <f t="shared" si="196"/>
        <v>-1,02309291994451+0,393872265952966i</v>
      </c>
      <c r="BC186">
        <f t="shared" si="197"/>
        <v>0.79851888377620828</v>
      </c>
      <c r="BD186" s="60">
        <f t="shared" si="198"/>
        <v>158.94419711871683</v>
      </c>
      <c r="BE186" s="58" t="str">
        <f t="shared" si="199"/>
        <v>0,13448928572027+4,44703804034054i</v>
      </c>
      <c r="BF186" s="37">
        <f t="shared" si="200"/>
        <v>12.965387153884979</v>
      </c>
      <c r="BG186" s="60">
        <f t="shared" si="201"/>
        <v>88.267763741837811</v>
      </c>
      <c r="BH186" s="58" t="str">
        <f t="shared" si="202"/>
        <v>-3,21837430139612+11,7068107887909i</v>
      </c>
      <c r="BI186" s="37">
        <f t="shared" si="203"/>
        <v>21.685191446382575</v>
      </c>
      <c r="BJ186" s="60">
        <f t="shared" si="204"/>
        <v>105.37170709867773</v>
      </c>
      <c r="BK186">
        <f t="shared" si="205"/>
        <v>12.965387153884979</v>
      </c>
      <c r="BL186" s="60">
        <f t="shared" si="206"/>
        <v>88.267763741837811</v>
      </c>
      <c r="BN186">
        <f t="shared" si="207"/>
        <v>0</v>
      </c>
      <c r="BO186">
        <f t="shared" si="208"/>
        <v>0</v>
      </c>
    </row>
    <row r="187" spans="13:67" x14ac:dyDescent="0.25">
      <c r="M187" s="66">
        <v>69</v>
      </c>
      <c r="N187" s="36">
        <f t="shared" si="209"/>
        <v>489.77881936844625</v>
      </c>
      <c r="O187" s="91" t="str">
        <f t="shared" si="157"/>
        <v>13,7404580152672</v>
      </c>
      <c r="P187" s="67" t="str">
        <f t="shared" si="158"/>
        <v>1+3,32356076815348i</v>
      </c>
      <c r="Q187" s="67">
        <f t="shared" si="169"/>
        <v>3.4707428858399969</v>
      </c>
      <c r="R187" s="67">
        <f t="shared" si="170"/>
        <v>1.2785304472480024</v>
      </c>
      <c r="S187" s="67" t="str">
        <f t="shared" si="159"/>
        <v>1+0,0923211324487078i</v>
      </c>
      <c r="T187" s="67">
        <f t="shared" si="171"/>
        <v>1.0042525536420666</v>
      </c>
      <c r="U187" s="67">
        <f t="shared" si="172"/>
        <v>9.2060175436026723E-2</v>
      </c>
      <c r="V187" t="str">
        <f t="shared" si="160"/>
        <v>1-0,0192335692601474i</v>
      </c>
      <c r="W187" s="67">
        <f t="shared" si="173"/>
        <v>1.0001849479903628</v>
      </c>
      <c r="X187" s="67">
        <f t="shared" si="174"/>
        <v>-1.9231198093803699E-2</v>
      </c>
      <c r="Y187" t="str">
        <f t="shared" si="161"/>
        <v>0,999984647469318+0,0333734237910426i</v>
      </c>
      <c r="Z187" s="67">
        <f t="shared" si="175"/>
        <v>1.0005413937413448</v>
      </c>
      <c r="AA187" s="67">
        <f t="shared" si="176"/>
        <v>3.3361553591295619E-2</v>
      </c>
      <c r="AB187" s="92" t="str">
        <f t="shared" si="177"/>
        <v>1,29437807428944-3,75767288919702i</v>
      </c>
      <c r="AC187" s="37">
        <f t="shared" si="178"/>
        <v>11.985339316545097</v>
      </c>
      <c r="AD187" s="60">
        <f t="shared" si="179"/>
        <v>-70.993081797101595</v>
      </c>
      <c r="AE187" t="str">
        <f t="shared" si="180"/>
        <v>21,0353732052265</v>
      </c>
      <c r="AF187" t="str">
        <f t="shared" si="162"/>
        <v>1+1,66178038407674i</v>
      </c>
      <c r="AG187">
        <f t="shared" si="181"/>
        <v>1.9394623081932367</v>
      </c>
      <c r="AH187">
        <f t="shared" si="182"/>
        <v>1.0290806052233323</v>
      </c>
      <c r="AI187" t="str">
        <f t="shared" si="163"/>
        <v>1+0,0923211324487078i</v>
      </c>
      <c r="AJ187">
        <f t="shared" si="183"/>
        <v>1.0042525536420666</v>
      </c>
      <c r="AK187">
        <f t="shared" si="184"/>
        <v>9.2060175436026723E-2</v>
      </c>
      <c r="AL187" t="str">
        <f t="shared" si="164"/>
        <v>1-0,00628165741597879i</v>
      </c>
      <c r="AM187">
        <f t="shared" si="185"/>
        <v>1.000019729415321</v>
      </c>
      <c r="AN187">
        <f t="shared" si="186"/>
        <v>-6.2815747948344602E-3</v>
      </c>
      <c r="AO187" s="58" t="str">
        <f t="shared" si="187"/>
        <v>6,39507988559795-8,81734584079517i</v>
      </c>
      <c r="AP187">
        <f t="shared" si="188"/>
        <v>20.742407814887329</v>
      </c>
      <c r="AQ187" s="60">
        <f t="shared" si="189"/>
        <v>-54.047223668786856</v>
      </c>
      <c r="AR187" t="str">
        <f t="shared" si="165"/>
        <v>-1,05811623246493</v>
      </c>
      <c r="AS187" t="str">
        <f t="shared" si="166"/>
        <v>1+0,0909917081414463i</v>
      </c>
      <c r="AT187">
        <f t="shared" si="190"/>
        <v>1.0041312120188766</v>
      </c>
      <c r="AU187">
        <f t="shared" si="191"/>
        <v>9.0741826632113401E-2</v>
      </c>
      <c r="AV187" t="str">
        <f t="shared" si="167"/>
        <v>1+0,0909917081414463i</v>
      </c>
      <c r="AW187">
        <f t="shared" si="192"/>
        <v>1.0041312120188766</v>
      </c>
      <c r="AX187">
        <f t="shared" si="193"/>
        <v>9.0741826632113401E-2</v>
      </c>
      <c r="AY187" t="str">
        <f t="shared" si="168"/>
        <v>1-0,279745769965945i</v>
      </c>
      <c r="AZ187">
        <f t="shared" si="194"/>
        <v>1.0383918796937115</v>
      </c>
      <c r="BA187">
        <f t="shared" si="195"/>
        <v>-0.27277294009339265</v>
      </c>
      <c r="BB187" s="58" t="str">
        <f t="shared" si="196"/>
        <v>-1,0227148067421+0,38906210737138i</v>
      </c>
      <c r="BC187">
        <f t="shared" si="197"/>
        <v>0.78208386874333558</v>
      </c>
      <c r="BD187" s="60">
        <f t="shared" si="198"/>
        <v>159.17213807594587</v>
      </c>
      <c r="BE187" s="58" t="str">
        <f t="shared" si="199"/>
        <v>0,138188510985159+4,34662116399352i</v>
      </c>
      <c r="BF187" s="37">
        <f t="shared" si="200"/>
        <v>12.76742318528844</v>
      </c>
      <c r="BG187" s="60">
        <f t="shared" si="201"/>
        <v>88.179056278844257</v>
      </c>
      <c r="BH187" s="58" t="str">
        <f t="shared" si="202"/>
        <v>-3,10984773505756+11,5057134046462i</v>
      </c>
      <c r="BI187" s="37">
        <f t="shared" si="203"/>
        <v>21.5244916836307</v>
      </c>
      <c r="BJ187" s="60">
        <f t="shared" si="204"/>
        <v>105.12491440715897</v>
      </c>
      <c r="BK187">
        <f t="shared" si="205"/>
        <v>12.76742318528844</v>
      </c>
      <c r="BL187" s="60">
        <f t="shared" si="206"/>
        <v>88.179056278844257</v>
      </c>
      <c r="BN187">
        <f t="shared" si="207"/>
        <v>0</v>
      </c>
      <c r="BO187">
        <f t="shared" si="208"/>
        <v>0</v>
      </c>
    </row>
    <row r="188" spans="13:67" x14ac:dyDescent="0.25">
      <c r="M188" s="66">
        <v>70</v>
      </c>
      <c r="N188" s="36">
        <f t="shared" si="209"/>
        <v>501.18723362727269</v>
      </c>
      <c r="O188" s="91" t="str">
        <f t="shared" si="157"/>
        <v>13,7404580152672</v>
      </c>
      <c r="P188" s="67" t="str">
        <f t="shared" si="158"/>
        <v>1+3,40097644347069i</v>
      </c>
      <c r="Q188" s="67">
        <f t="shared" si="169"/>
        <v>3.5449458062208148</v>
      </c>
      <c r="R188" s="67">
        <f t="shared" si="170"/>
        <v>1.284822606848248</v>
      </c>
      <c r="S188" s="67" t="str">
        <f t="shared" si="159"/>
        <v>1+0,0944715678741859i</v>
      </c>
      <c r="T188" s="67">
        <f t="shared" si="171"/>
        <v>1.0044525260740833</v>
      </c>
      <c r="U188" s="67">
        <f t="shared" si="172"/>
        <v>9.4192014297605375E-2</v>
      </c>
      <c r="V188" t="str">
        <f t="shared" si="160"/>
        <v>1-0,0196815766404554i</v>
      </c>
      <c r="W188" s="67">
        <f t="shared" si="173"/>
        <v>1.0001936634767559</v>
      </c>
      <c r="X188" s="67">
        <f t="shared" si="174"/>
        <v>-1.9679035916511402E-2</v>
      </c>
      <c r="Y188" t="str">
        <f t="shared" si="161"/>
        <v>0,999983923926838+0,0341507906937896i</v>
      </c>
      <c r="Z188" s="67">
        <f t="shared" si="175"/>
        <v>1.0005669016198404</v>
      </c>
      <c r="AA188" s="67">
        <f t="shared" si="176"/>
        <v>3.4138071934702773E-2</v>
      </c>
      <c r="AB188" s="92" t="str">
        <f t="shared" si="177"/>
        <v>1,24768297948233-3,68645978101561i</v>
      </c>
      <c r="AC188" s="37">
        <f t="shared" si="178"/>
        <v>11.80317981711614</v>
      </c>
      <c r="AD188" s="60">
        <f t="shared" si="179"/>
        <v>-71.30160105778711</v>
      </c>
      <c r="AE188" t="str">
        <f t="shared" si="180"/>
        <v>21,0353732052265</v>
      </c>
      <c r="AF188" t="str">
        <f t="shared" si="162"/>
        <v>1+1,70048822173535i</v>
      </c>
      <c r="AG188">
        <f t="shared" si="181"/>
        <v>1.972729122880446</v>
      </c>
      <c r="AH188">
        <f t="shared" si="182"/>
        <v>1.0391977396356276</v>
      </c>
      <c r="AI188" t="str">
        <f t="shared" si="163"/>
        <v>1+0,0944715678741859i</v>
      </c>
      <c r="AJ188">
        <f t="shared" si="183"/>
        <v>1.0044525260740833</v>
      </c>
      <c r="AK188">
        <f t="shared" si="184"/>
        <v>9.4192014297605375E-2</v>
      </c>
      <c r="AL188" t="str">
        <f t="shared" si="164"/>
        <v>1-0,00642797601367952i</v>
      </c>
      <c r="AM188">
        <f t="shared" si="185"/>
        <v>1.0000206592244145</v>
      </c>
      <c r="AN188">
        <f t="shared" si="186"/>
        <v>-6.4278874836271281E-3</v>
      </c>
      <c r="AO188" s="58" t="str">
        <f t="shared" si="187"/>
        <v>6,2177838902884-8,72123845761684i</v>
      </c>
      <c r="AP188">
        <f t="shared" si="188"/>
        <v>20.596423059549132</v>
      </c>
      <c r="AQ188" s="60">
        <f t="shared" si="189"/>
        <v>-54.513130501564582</v>
      </c>
      <c r="AR188" t="str">
        <f t="shared" si="165"/>
        <v>-1,05811623246493</v>
      </c>
      <c r="AS188" t="str">
        <f t="shared" si="166"/>
        <v>1+0,0931111772967976i</v>
      </c>
      <c r="AT188">
        <f t="shared" si="190"/>
        <v>1.004325490733754</v>
      </c>
      <c r="AU188">
        <f t="shared" si="191"/>
        <v>9.2843486677791048E-2</v>
      </c>
      <c r="AV188" t="str">
        <f t="shared" si="167"/>
        <v>1+0,0931111772967976i</v>
      </c>
      <c r="AW188">
        <f t="shared" si="192"/>
        <v>1.004325490733754</v>
      </c>
      <c r="AX188">
        <f t="shared" si="193"/>
        <v>9.2843486677791048E-2</v>
      </c>
      <c r="AY188" t="str">
        <f t="shared" si="168"/>
        <v>1-0,273377978815664i</v>
      </c>
      <c r="AZ188">
        <f t="shared" si="194"/>
        <v>1.0366945159020269</v>
      </c>
      <c r="BA188">
        <f t="shared" si="195"/>
        <v>-0.26685760625678157</v>
      </c>
      <c r="BB188" s="58" t="str">
        <f t="shared" si="196"/>
        <v>-1,0223191730506+0,384455018759138i</v>
      </c>
      <c r="BC188">
        <f t="shared" si="197"/>
        <v>0.76619384804975899</v>
      </c>
      <c r="BD188" s="60">
        <f t="shared" si="198"/>
        <v>159.39064548860591</v>
      </c>
      <c r="BE188" s="58" t="str">
        <f t="shared" si="199"/>
        <v>0,14174773245148+4,24841649809451i</v>
      </c>
      <c r="BF188" s="37">
        <f t="shared" si="200"/>
        <v>12.569373665165898</v>
      </c>
      <c r="BG188" s="60">
        <f t="shared" si="201"/>
        <v>88.089044430818817</v>
      </c>
      <c r="BH188" s="58" t="str">
        <f t="shared" si="202"/>
        <v>-3,00363579010098+11,306347510149i</v>
      </c>
      <c r="BI188" s="37">
        <f t="shared" si="203"/>
        <v>21.36261690759887</v>
      </c>
      <c r="BJ188" s="60">
        <f t="shared" si="204"/>
        <v>104.87751498704138</v>
      </c>
      <c r="BK188">
        <f t="shared" si="205"/>
        <v>12.569373665165898</v>
      </c>
      <c r="BL188" s="60">
        <f t="shared" si="206"/>
        <v>88.089044430818817</v>
      </c>
      <c r="BN188">
        <f t="shared" si="207"/>
        <v>0</v>
      </c>
      <c r="BO188">
        <f t="shared" si="208"/>
        <v>0</v>
      </c>
    </row>
    <row r="189" spans="13:67" x14ac:dyDescent="0.25">
      <c r="M189" s="66">
        <v>71</v>
      </c>
      <c r="N189" s="36">
        <f t="shared" si="209"/>
        <v>512.86138399136519</v>
      </c>
      <c r="O189" s="91" t="str">
        <f t="shared" si="157"/>
        <v>13,7404580152672</v>
      </c>
      <c r="P189" s="67" t="str">
        <f t="shared" si="158"/>
        <v>1+3,48019536151548i</v>
      </c>
      <c r="Q189" s="67">
        <f t="shared" si="169"/>
        <v>3.6210163979625749</v>
      </c>
      <c r="R189" s="67">
        <f t="shared" si="170"/>
        <v>1.2909941187617413</v>
      </c>
      <c r="S189" s="67" t="str">
        <f t="shared" si="159"/>
        <v>1+0,09667209337543i</v>
      </c>
      <c r="T189" s="67">
        <f t="shared" si="171"/>
        <v>1.0046618802550378</v>
      </c>
      <c r="U189" s="67">
        <f t="shared" si="172"/>
        <v>9.6372621340973685E-2</v>
      </c>
      <c r="V189" t="str">
        <f t="shared" si="160"/>
        <v>1-0,0201400194532146i</v>
      </c>
      <c r="W189" s="67">
        <f t="shared" si="173"/>
        <v>1.000202789629971</v>
      </c>
      <c r="X189" s="67">
        <f t="shared" si="174"/>
        <v>-2.013729704826971E-2</v>
      </c>
      <c r="Y189" t="str">
        <f t="shared" si="161"/>
        <v>0,999983166284852+0,0349462647978017i</v>
      </c>
      <c r="Z189" s="67">
        <f t="shared" si="175"/>
        <v>1.0005936109512172</v>
      </c>
      <c r="AA189" s="67">
        <f t="shared" si="176"/>
        <v>3.4932636838445302E-2</v>
      </c>
      <c r="AB189" s="92" t="str">
        <f t="shared" si="177"/>
        <v>1,20275965935418-3,61605977526406i</v>
      </c>
      <c r="AC189" s="37">
        <f t="shared" si="178"/>
        <v>11.620419562261461</v>
      </c>
      <c r="AD189" s="60">
        <f t="shared" si="179"/>
        <v>-71.602044707581726</v>
      </c>
      <c r="AE189" t="str">
        <f t="shared" si="180"/>
        <v>21,0353732052265</v>
      </c>
      <c r="AF189" t="str">
        <f t="shared" si="162"/>
        <v>1+1,74009768075774i</v>
      </c>
      <c r="AG189">
        <f t="shared" si="181"/>
        <v>2.0069728295566098</v>
      </c>
      <c r="AH189">
        <f t="shared" si="182"/>
        <v>1.0492022815198856</v>
      </c>
      <c r="AI189" t="str">
        <f t="shared" si="163"/>
        <v>1+0,09667209337543i</v>
      </c>
      <c r="AJ189">
        <f t="shared" si="183"/>
        <v>1.0046618802550378</v>
      </c>
      <c r="AK189">
        <f t="shared" si="184"/>
        <v>9.6372621340973685E-2</v>
      </c>
      <c r="AL189" t="str">
        <f t="shared" si="164"/>
        <v>1-0,00657770280934703i</v>
      </c>
      <c r="AM189">
        <f t="shared" si="185"/>
        <v>1.0000216328531337</v>
      </c>
      <c r="AN189">
        <f t="shared" si="186"/>
        <v>-6.5776079477976286E-3</v>
      </c>
      <c r="AO189" s="58" t="str">
        <f t="shared" si="187"/>
        <v>6,04441202261504-8,62269821284165i</v>
      </c>
      <c r="AP189">
        <f t="shared" si="188"/>
        <v>20.448760953394654</v>
      </c>
      <c r="AQ189" s="60">
        <f t="shared" si="189"/>
        <v>-54.969987297836639</v>
      </c>
      <c r="AR189" t="str">
        <f t="shared" si="165"/>
        <v>-1,05811623246493</v>
      </c>
      <c r="AS189" t="str">
        <f t="shared" si="166"/>
        <v>1+0,0952800152308238i</v>
      </c>
      <c r="AT189">
        <f t="shared" si="190"/>
        <v>1.0045288852503873</v>
      </c>
      <c r="AU189">
        <f t="shared" si="191"/>
        <v>9.4993249362172891E-2</v>
      </c>
      <c r="AV189" t="str">
        <f t="shared" si="167"/>
        <v>1+0,0952800152308238i</v>
      </c>
      <c r="AW189">
        <f t="shared" si="192"/>
        <v>1.0045288852503873</v>
      </c>
      <c r="AX189">
        <f t="shared" si="193"/>
        <v>9.4993249362172891E-2</v>
      </c>
      <c r="AY189" t="str">
        <f t="shared" si="168"/>
        <v>1-0,267155136288336i</v>
      </c>
      <c r="AZ189">
        <f t="shared" si="194"/>
        <v>1.0350709477351006</v>
      </c>
      <c r="BA189">
        <f t="shared" si="195"/>
        <v>-0.26105837636634627</v>
      </c>
      <c r="BB189" s="58" t="str">
        <f t="shared" si="196"/>
        <v>-1,02190522166283+0,380048331377561i</v>
      </c>
      <c r="BC189">
        <f t="shared" si="197"/>
        <v>0.75082133045677479</v>
      </c>
      <c r="BD189" s="60">
        <f t="shared" si="198"/>
        <v>159.59974455698435</v>
      </c>
      <c r="BE189" s="58" t="str">
        <f t="shared" si="199"/>
        <v>0,145171107451181+4,15237716777306i</v>
      </c>
      <c r="BF189" s="37">
        <f t="shared" si="200"/>
        <v>12.371240892718234</v>
      </c>
      <c r="BG189" s="60">
        <f t="shared" si="201"/>
        <v>87.997699849402622</v>
      </c>
      <c r="BH189" s="58" t="str">
        <f t="shared" si="202"/>
        <v>-2,89977414002915+11,1087490318789i</v>
      </c>
      <c r="BI189" s="37">
        <f t="shared" si="203"/>
        <v>21.199582283851399</v>
      </c>
      <c r="BJ189" s="60">
        <f t="shared" si="204"/>
        <v>104.62975725914775</v>
      </c>
      <c r="BK189">
        <f t="shared" si="205"/>
        <v>12.371240892718234</v>
      </c>
      <c r="BL189" s="60">
        <f t="shared" si="206"/>
        <v>87.997699849402622</v>
      </c>
      <c r="BN189">
        <f t="shared" si="207"/>
        <v>0</v>
      </c>
      <c r="BO189">
        <f t="shared" si="208"/>
        <v>0</v>
      </c>
    </row>
    <row r="190" spans="13:67" x14ac:dyDescent="0.25">
      <c r="M190" s="66">
        <v>72</v>
      </c>
      <c r="N190" s="36">
        <f t="shared" si="209"/>
        <v>524.80746024977248</v>
      </c>
      <c r="O190" s="91" t="str">
        <f t="shared" si="157"/>
        <v>13,7404580152672</v>
      </c>
      <c r="P190" s="67" t="str">
        <f t="shared" si="158"/>
        <v>1+3,56125952520678i</v>
      </c>
      <c r="Q190" s="67">
        <f t="shared" si="169"/>
        <v>3.698995729367097</v>
      </c>
      <c r="R190" s="67">
        <f t="shared" si="170"/>
        <v>1.2970463740212208</v>
      </c>
      <c r="S190" s="67" t="str">
        <f t="shared" si="159"/>
        <v>1+0,0989238757001884i</v>
      </c>
      <c r="T190" s="67">
        <f t="shared" si="171"/>
        <v>1.0048810542464945</v>
      </c>
      <c r="U190" s="67">
        <f t="shared" si="172"/>
        <v>9.8603069756055109E-2</v>
      </c>
      <c r="V190" t="str">
        <f t="shared" si="160"/>
        <v>1-0,0206091407708726i</v>
      </c>
      <c r="W190" s="67">
        <f t="shared" si="173"/>
        <v>1.0002123457962881</v>
      </c>
      <c r="X190" s="67">
        <f t="shared" si="174"/>
        <v>-2.0606223694864381E-2</v>
      </c>
      <c r="Y190" t="str">
        <f t="shared" si="161"/>
        <v>0,999982372936299+0,0357602678739782i</v>
      </c>
      <c r="Z190" s="67">
        <f t="shared" si="175"/>
        <v>1.000621578291079</v>
      </c>
      <c r="AA190" s="67">
        <f t="shared" si="176"/>
        <v>3.5745665742208797E-2</v>
      </c>
      <c r="AB190" s="92" t="str">
        <f t="shared" si="177"/>
        <v>1,15955390318637-3,54650019224054i</v>
      </c>
      <c r="AC190" s="37">
        <f t="shared" si="178"/>
        <v>11.43708768864059</v>
      </c>
      <c r="AD190" s="60">
        <f t="shared" si="179"/>
        <v>-71.894468752438883</v>
      </c>
      <c r="AE190" t="str">
        <f t="shared" si="180"/>
        <v>21,0353732052265</v>
      </c>
      <c r="AF190" t="str">
        <f t="shared" si="162"/>
        <v>1+1,78062976260339i</v>
      </c>
      <c r="AG190">
        <f t="shared" si="181"/>
        <v>2.0422150600436293</v>
      </c>
      <c r="AH190">
        <f t="shared" si="182"/>
        <v>1.059091523919417</v>
      </c>
      <c r="AI190" t="str">
        <f t="shared" si="163"/>
        <v>1+0,0989238757001884i</v>
      </c>
      <c r="AJ190">
        <f t="shared" si="183"/>
        <v>1.0048810542464945</v>
      </c>
      <c r="AK190">
        <f t="shared" si="184"/>
        <v>9.8603069756055109E-2</v>
      </c>
      <c r="AL190" t="str">
        <f t="shared" si="164"/>
        <v>1-0,00673091719011025i</v>
      </c>
      <c r="AM190">
        <f t="shared" si="185"/>
        <v>1.0000226523665452</v>
      </c>
      <c r="AN190">
        <f t="shared" si="186"/>
        <v>-6.7308155442530951E-3</v>
      </c>
      <c r="AO190" s="58" t="str">
        <f t="shared" si="187"/>
        <v>5,87501312074683-8,52190992933377i</v>
      </c>
      <c r="AP190">
        <f t="shared" si="188"/>
        <v>20.299464859758242</v>
      </c>
      <c r="AQ190" s="60">
        <f t="shared" si="189"/>
        <v>-55.417582017972009</v>
      </c>
      <c r="AR190" t="str">
        <f t="shared" si="165"/>
        <v>-1,05811623246493</v>
      </c>
      <c r="AS190" t="str">
        <f t="shared" si="166"/>
        <v>1+0,0974993718901056i</v>
      </c>
      <c r="AT190">
        <f t="shared" si="190"/>
        <v>1.0047418213247448</v>
      </c>
      <c r="AU190">
        <f t="shared" si="191"/>
        <v>9.7192174993391042E-2</v>
      </c>
      <c r="AV190" t="str">
        <f t="shared" si="167"/>
        <v>1+0,0974993718901056i</v>
      </c>
      <c r="AW190">
        <f t="shared" si="192"/>
        <v>1.0047418213247448</v>
      </c>
      <c r="AX190">
        <f t="shared" si="193"/>
        <v>9.7192174993391042E-2</v>
      </c>
      <c r="AY190" t="str">
        <f t="shared" si="168"/>
        <v>1-0,261073942950484i</v>
      </c>
      <c r="AZ190">
        <f t="shared" si="194"/>
        <v>1.0335180712922791</v>
      </c>
      <c r="BA190">
        <f t="shared" si="195"/>
        <v>-0.25537373650177941</v>
      </c>
      <c r="BB190" s="58" t="str">
        <f t="shared" si="196"/>
        <v>-1,02147212049497+0,375839467061043i</v>
      </c>
      <c r="BC190">
        <f t="shared" si="197"/>
        <v>0.73593943974226028</v>
      </c>
      <c r="BD190" s="60">
        <f t="shared" si="198"/>
        <v>159.79946127114394</v>
      </c>
      <c r="BE190" s="58" t="str">
        <f t="shared" si="199"/>
        <v>0,148462757867571+4,05845719270588i</v>
      </c>
      <c r="BF190" s="37">
        <f t="shared" si="200"/>
        <v>12.173027128382852</v>
      </c>
      <c r="BG190" s="60">
        <f t="shared" si="201"/>
        <v>87.904992518705029</v>
      </c>
      <c r="BH190" s="58" t="str">
        <f t="shared" si="202"/>
        <v>-2,79829202420202+10,9129552064618i</v>
      </c>
      <c r="BI190" s="37">
        <f t="shared" si="203"/>
        <v>21.035404299500481</v>
      </c>
      <c r="BJ190" s="60">
        <f t="shared" si="204"/>
        <v>104.38187925317193</v>
      </c>
      <c r="BK190">
        <f t="shared" si="205"/>
        <v>12.173027128382852</v>
      </c>
      <c r="BL190" s="60">
        <f t="shared" si="206"/>
        <v>87.904992518705029</v>
      </c>
      <c r="BN190">
        <f t="shared" si="207"/>
        <v>0</v>
      </c>
      <c r="BO190">
        <f t="shared" si="208"/>
        <v>0</v>
      </c>
    </row>
    <row r="191" spans="13:67" x14ac:dyDescent="0.25">
      <c r="M191" s="66">
        <v>73</v>
      </c>
      <c r="N191" s="36">
        <f t="shared" si="209"/>
        <v>537.03179637025301</v>
      </c>
      <c r="O191" s="91" t="str">
        <f t="shared" si="157"/>
        <v>13,7404580152672</v>
      </c>
      <c r="P191" s="67" t="str">
        <f t="shared" si="158"/>
        <v>1+3,64421191583718i</v>
      </c>
      <c r="Q191" s="67">
        <f t="shared" si="169"/>
        <v>3.7789258377916988</v>
      </c>
      <c r="R191" s="67">
        <f t="shared" si="170"/>
        <v>1.3029808073757985</v>
      </c>
      <c r="S191" s="67" t="str">
        <f t="shared" si="159"/>
        <v>1+0,101228108773255i</v>
      </c>
      <c r="T191" s="67">
        <f t="shared" si="171"/>
        <v>1.0051105063652503</v>
      </c>
      <c r="U191" s="67">
        <f t="shared" si="172"/>
        <v>0.1008844533372688</v>
      </c>
      <c r="V191" t="str">
        <f t="shared" si="160"/>
        <v>1-0,0210891893277614i</v>
      </c>
      <c r="W191" s="67">
        <f t="shared" si="173"/>
        <v>1.0002223522329934</v>
      </c>
      <c r="X191" s="67">
        <f t="shared" si="174"/>
        <v>-2.1086063662030745E-2</v>
      </c>
      <c r="Y191" t="str">
        <f t="shared" si="161"/>
        <v>0,99998154219838+0,0365932315175244i</v>
      </c>
      <c r="Z191" s="67">
        <f t="shared" si="175"/>
        <v>1.0006508628539454</v>
      </c>
      <c r="AA191" s="67">
        <f t="shared" si="176"/>
        <v>3.6577585600924174E-2</v>
      </c>
      <c r="AB191" s="92" t="str">
        <f t="shared" si="177"/>
        <v>1,11801205973404-3,47780559104184i</v>
      </c>
      <c r="AC191" s="37">
        <f t="shared" si="178"/>
        <v>11.253212693023087</v>
      </c>
      <c r="AD191" s="60">
        <f t="shared" si="179"/>
        <v>-72.178931388561779</v>
      </c>
      <c r="AE191" t="str">
        <f t="shared" si="180"/>
        <v>21,0353732052265</v>
      </c>
      <c r="AF191" t="str">
        <f t="shared" si="162"/>
        <v>1+1,82210595791859i</v>
      </c>
      <c r="AG191">
        <f t="shared" si="181"/>
        <v>2.078477837717406</v>
      </c>
      <c r="AH191">
        <f t="shared" si="182"/>
        <v>1.0688629724661691</v>
      </c>
      <c r="AI191" t="str">
        <f t="shared" si="163"/>
        <v>1+0,101228108773255i</v>
      </c>
      <c r="AJ191">
        <f t="shared" si="183"/>
        <v>1.0051105063652503</v>
      </c>
      <c r="AK191">
        <f t="shared" si="184"/>
        <v>0.1008844533372688</v>
      </c>
      <c r="AL191" t="str">
        <f t="shared" si="164"/>
        <v>1-0,00688770039226188i</v>
      </c>
      <c r="AM191">
        <f t="shared" si="185"/>
        <v>1.0000237199270292</v>
      </c>
      <c r="AN191">
        <f t="shared" si="186"/>
        <v>-6.8875914769031673E-3</v>
      </c>
      <c r="AO191" s="58" t="str">
        <f t="shared" si="187"/>
        <v>5,70962558337995-8,41905709433334i</v>
      </c>
      <c r="AP191">
        <f t="shared" si="188"/>
        <v>20.148578749371087</v>
      </c>
      <c r="AQ191" s="60">
        <f t="shared" si="189"/>
        <v>-55.855713728046233</v>
      </c>
      <c r="AR191" t="str">
        <f t="shared" si="165"/>
        <v>-1,05811623246493</v>
      </c>
      <c r="AS191" t="str">
        <f t="shared" si="166"/>
        <v>1+0,0997704240069201i</v>
      </c>
      <c r="AT191">
        <f t="shared" si="190"/>
        <v>1.0049647444097334</v>
      </c>
      <c r="AU191">
        <f t="shared" si="191"/>
        <v>9.9441344364850345E-2</v>
      </c>
      <c r="AV191" t="str">
        <f t="shared" si="167"/>
        <v>1+0,0997704240069201i</v>
      </c>
      <c r="AW191">
        <f t="shared" si="192"/>
        <v>1.0049647444097334</v>
      </c>
      <c r="AX191">
        <f t="shared" si="193"/>
        <v>9.9441344364850345E-2</v>
      </c>
      <c r="AY191" t="str">
        <f t="shared" si="168"/>
        <v>1-0,255131174472907i</v>
      </c>
      <c r="AZ191">
        <f t="shared" si="194"/>
        <v>1.0320329046052383</v>
      </c>
      <c r="BA191">
        <f t="shared" si="195"/>
        <v>-0.24980214279746443</v>
      </c>
      <c r="BB191" s="58" t="str">
        <f t="shared" si="196"/>
        <v>-1,0210190011948+0,371825935785952i</v>
      </c>
      <c r="BC191">
        <f t="shared" si="197"/>
        <v>0.72152189606002326</v>
      </c>
      <c r="BD191" s="60">
        <f t="shared" si="198"/>
        <v>159.98982216316807</v>
      </c>
      <c r="BE191" s="58" t="str">
        <f t="shared" si="199"/>
        <v>0,151626761817358+3,96661147124582i</v>
      </c>
      <c r="BF191" s="37">
        <f t="shared" si="200"/>
        <v>11.974734589083113</v>
      </c>
      <c r="BG191" s="60">
        <f t="shared" si="201"/>
        <v>87.810890774606307</v>
      </c>
      <c r="BH191" s="58" t="str">
        <f t="shared" si="202"/>
        <v>-2,69921242780302+10,7190041409859i</v>
      </c>
      <c r="BI191" s="37">
        <f t="shared" si="203"/>
        <v>20.870100645431123</v>
      </c>
      <c r="BJ191" s="60">
        <f t="shared" si="204"/>
        <v>104.13410843512183</v>
      </c>
      <c r="BK191">
        <f t="shared" si="205"/>
        <v>11.974734589083113</v>
      </c>
      <c r="BL191" s="60">
        <f t="shared" si="206"/>
        <v>87.810890774606307</v>
      </c>
      <c r="BN191">
        <f t="shared" si="207"/>
        <v>0</v>
      </c>
      <c r="BO191">
        <f t="shared" si="208"/>
        <v>0</v>
      </c>
    </row>
    <row r="192" spans="13:67" x14ac:dyDescent="0.25">
      <c r="M192" s="66">
        <v>74</v>
      </c>
      <c r="N192" s="36">
        <f t="shared" si="209"/>
        <v>549.54087385762534</v>
      </c>
      <c r="O192" s="91" t="str">
        <f t="shared" si="157"/>
        <v>13,7404580152672</v>
      </c>
      <c r="P192" s="67" t="str">
        <f t="shared" si="158"/>
        <v>1+3,72909651586221i</v>
      </c>
      <c r="Q192" s="67">
        <f t="shared" si="169"/>
        <v>3.8608497542141773</v>
      </c>
      <c r="R192" s="67">
        <f t="shared" si="170"/>
        <v>1.3087988927074559</v>
      </c>
      <c r="S192" s="67" t="str">
        <f t="shared" si="159"/>
        <v>1+0,103586014329506i</v>
      </c>
      <c r="T192" s="67">
        <f t="shared" si="171"/>
        <v>1.0053507161009398</v>
      </c>
      <c r="U192" s="67">
        <f t="shared" si="172"/>
        <v>0.1032178866607507</v>
      </c>
      <c r="V192" t="str">
        <f t="shared" si="160"/>
        <v>1-0,0215804196519804i</v>
      </c>
      <c r="W192" s="67">
        <f t="shared" si="173"/>
        <v>1.0002328301512382</v>
      </c>
      <c r="X192" s="67">
        <f t="shared" si="174"/>
        <v>-2.1577070482913036E-2</v>
      </c>
      <c r="Y192" t="str">
        <f t="shared" si="161"/>
        <v>0,999980672308989+0,03744559737679i</v>
      </c>
      <c r="Z192" s="67">
        <f t="shared" si="175"/>
        <v>1.0006815266379421</v>
      </c>
      <c r="AA192" s="67">
        <f t="shared" si="176"/>
        <v>3.7428833091587982E-2</v>
      </c>
      <c r="AB192" s="92" t="str">
        <f t="shared" si="177"/>
        <v>1,07808113432145-3,40999789552652i</v>
      </c>
      <c r="AC192" s="37">
        <f t="shared" si="178"/>
        <v>11.068822447941852</v>
      </c>
      <c r="AD192" s="60">
        <f t="shared" si="179"/>
        <v>-72.455492748786838</v>
      </c>
      <c r="AE192" t="str">
        <f t="shared" si="180"/>
        <v>21,0353732052265</v>
      </c>
      <c r="AF192" t="str">
        <f t="shared" si="162"/>
        <v>1+1,86454825793111i</v>
      </c>
      <c r="AG192">
        <f t="shared" si="181"/>
        <v>2.1157835915220478</v>
      </c>
      <c r="AH192">
        <f t="shared" si="182"/>
        <v>1.078514343470576</v>
      </c>
      <c r="AI192" t="str">
        <f t="shared" si="163"/>
        <v>1+0,103586014329506i</v>
      </c>
      <c r="AJ192">
        <f t="shared" si="183"/>
        <v>1.0053507161009398</v>
      </c>
      <c r="AK192">
        <f t="shared" si="184"/>
        <v>0.1032178866607507</v>
      </c>
      <c r="AL192" t="str">
        <f t="shared" si="164"/>
        <v>1-0,00704813554433099i</v>
      </c>
      <c r="AM192">
        <f t="shared" si="185"/>
        <v>1.0000248377988676</v>
      </c>
      <c r="AN192">
        <f t="shared" si="186"/>
        <v>-7.048018839578043E-3</v>
      </c>
      <c r="AO192" s="58" t="str">
        <f t="shared" si="187"/>
        <v>5,54827771204411-8,31432123382278i</v>
      </c>
      <c r="AP192">
        <f t="shared" si="188"/>
        <v>19.996147104735154</v>
      </c>
      <c r="AQ192" s="60">
        <f t="shared" si="189"/>
        <v>-56.284192482702686</v>
      </c>
      <c r="AR192" t="str">
        <f t="shared" si="165"/>
        <v>-1,05811623246493</v>
      </c>
      <c r="AS192" t="str">
        <f t="shared" si="166"/>
        <v>1+0,102094375723161i</v>
      </c>
      <c r="AT192">
        <f t="shared" si="190"/>
        <v>1.0051981205485325</v>
      </c>
      <c r="AU192">
        <f t="shared" si="191"/>
        <v>0.10174185894181824</v>
      </c>
      <c r="AV192" t="str">
        <f t="shared" si="167"/>
        <v>1+0,102094375723161i</v>
      </c>
      <c r="AW192">
        <f t="shared" si="192"/>
        <v>1.0051981205485325</v>
      </c>
      <c r="AX192">
        <f t="shared" si="193"/>
        <v>0.10174185894181824</v>
      </c>
      <c r="AY192" t="str">
        <f t="shared" si="168"/>
        <v>1-0,249323679921096i</v>
      </c>
      <c r="AZ192">
        <f t="shared" si="194"/>
        <v>1.0306125835489286</v>
      </c>
      <c r="BA192">
        <f t="shared" si="195"/>
        <v>-0.24434202535720947</v>
      </c>
      <c r="BB192" s="58" t="str">
        <f t="shared" si="196"/>
        <v>-1,02054495770735+0,368005333216954i</v>
      </c>
      <c r="BC192">
        <f t="shared" si="197"/>
        <v>0.70754299598812764</v>
      </c>
      <c r="BD192" s="60">
        <f t="shared" si="198"/>
        <v>160.17085407217181</v>
      </c>
      <c r="BE192" s="58" t="str">
        <f t="shared" si="199"/>
        <v>0,154667146181173+3,87679576514314i</v>
      </c>
      <c r="BF192" s="37">
        <f t="shared" si="200"/>
        <v>11.776365443929976</v>
      </c>
      <c r="BG192" s="60">
        <f t="shared" si="201"/>
        <v>87.715361323384954</v>
      </c>
      <c r="BH192" s="58" t="str">
        <f t="shared" si="202"/>
        <v>-2,60255228686094+10,526934400138i</v>
      </c>
      <c r="BI192" s="37">
        <f t="shared" si="203"/>
        <v>20.703690100723296</v>
      </c>
      <c r="BJ192" s="60">
        <f t="shared" si="204"/>
        <v>103.88666158946909</v>
      </c>
      <c r="BK192">
        <f t="shared" si="205"/>
        <v>11.776365443929976</v>
      </c>
      <c r="BL192" s="60">
        <f t="shared" si="206"/>
        <v>87.715361323384954</v>
      </c>
      <c r="BN192">
        <f t="shared" si="207"/>
        <v>0</v>
      </c>
      <c r="BO192">
        <f t="shared" si="208"/>
        <v>0</v>
      </c>
    </row>
    <row r="193" spans="13:67" x14ac:dyDescent="0.25">
      <c r="M193" s="66">
        <v>75</v>
      </c>
      <c r="N193" s="36">
        <f t="shared" si="209"/>
        <v>562.34132519034927</v>
      </c>
      <c r="O193" s="91" t="str">
        <f t="shared" si="157"/>
        <v>13,7404580152672</v>
      </c>
      <c r="P193" s="67" t="str">
        <f t="shared" si="158"/>
        <v>1+3,81595833222037i</v>
      </c>
      <c r="Q193" s="67">
        <f t="shared" si="169"/>
        <v>3.944811528228195</v>
      </c>
      <c r="R193" s="67">
        <f t="shared" si="170"/>
        <v>1.3145021386608051</v>
      </c>
      <c r="S193" s="67" t="str">
        <f t="shared" si="159"/>
        <v>1+0,105998842561677i</v>
      </c>
      <c r="T193" s="67">
        <f t="shared" si="171"/>
        <v>1.0056021850734094</v>
      </c>
      <c r="U193" s="67">
        <f t="shared" si="172"/>
        <v>0.10560450524541483</v>
      </c>
      <c r="V193" t="str">
        <f t="shared" si="160"/>
        <v>1-0,0220830922003494i</v>
      </c>
      <c r="W193" s="67">
        <f t="shared" si="173"/>
        <v>1.0002438017609152</v>
      </c>
      <c r="X193" s="67">
        <f t="shared" si="174"/>
        <v>-2.2079503548278073E-2</v>
      </c>
      <c r="Y193" t="str">
        <f t="shared" si="161"/>
        <v>0,999979761422975+0,0383178173874357i</v>
      </c>
      <c r="Z193" s="67">
        <f t="shared" si="175"/>
        <v>1.000713634555304</v>
      </c>
      <c r="AA193" s="67">
        <f t="shared" si="176"/>
        <v>3.8299854823846811E-2</v>
      </c>
      <c r="AB193" s="92" t="str">
        <f t="shared" si="177"/>
        <v>1,03970887535898-3,34309651978938i</v>
      </c>
      <c r="AC193" s="37">
        <f t="shared" si="178"/>
        <v>10.883944218954388</v>
      </c>
      <c r="AD193" s="60">
        <f t="shared" si="179"/>
        <v>-72.724214662485906</v>
      </c>
      <c r="AE193" t="str">
        <f t="shared" si="180"/>
        <v>21,0353732052265</v>
      </c>
      <c r="AF193" t="str">
        <f t="shared" si="162"/>
        <v>1+1,90797916611019i</v>
      </c>
      <c r="AG193">
        <f t="shared" si="181"/>
        <v>2.1541551704346964</v>
      </c>
      <c r="AH193">
        <f t="shared" si="182"/>
        <v>1.0880435613148873</v>
      </c>
      <c r="AI193" t="str">
        <f t="shared" si="163"/>
        <v>1+0,105998842561677i</v>
      </c>
      <c r="AJ193">
        <f t="shared" si="183"/>
        <v>1.0056021850734094</v>
      </c>
      <c r="AK193">
        <f t="shared" si="184"/>
        <v>0.10560450524541483</v>
      </c>
      <c r="AL193" t="str">
        <f t="shared" si="164"/>
        <v>1-0,00721230771115879i</v>
      </c>
      <c r="AM193">
        <f t="shared" si="185"/>
        <v>1.000026008353043</v>
      </c>
      <c r="AN193">
        <f t="shared" si="186"/>
        <v>-7.2121826599386473E-3</v>
      </c>
      <c r="AO193" s="58" t="str">
        <f t="shared" si="187"/>
        <v>5,39098808994815-8,20788133213748i</v>
      </c>
      <c r="AP193">
        <f t="shared" si="188"/>
        <v>19.842214828407275</v>
      </c>
      <c r="AQ193" s="60">
        <f t="shared" si="189"/>
        <v>-56.702839169089174</v>
      </c>
      <c r="AR193" t="str">
        <f t="shared" si="165"/>
        <v>-1,05811623246493</v>
      </c>
      <c r="AS193" t="str">
        <f t="shared" si="166"/>
        <v>1+0,104472459228789i</v>
      </c>
      <c r="AT193">
        <f t="shared" si="190"/>
        <v>1.0054424373067365</v>
      </c>
      <c r="AU193">
        <f t="shared" si="191"/>
        <v>0.10409484103285108</v>
      </c>
      <c r="AV193" t="str">
        <f t="shared" si="167"/>
        <v>1+0,104472459228789i</v>
      </c>
      <c r="AW193">
        <f t="shared" si="192"/>
        <v>1.0054424373067365</v>
      </c>
      <c r="AX193">
        <f t="shared" si="193"/>
        <v>0.10409484103285108</v>
      </c>
      <c r="AY193" t="str">
        <f t="shared" si="168"/>
        <v>1-0,243648380084568i</v>
      </c>
      <c r="AZ193">
        <f t="shared" si="194"/>
        <v>1.0292543578328119</v>
      </c>
      <c r="BA193">
        <f t="shared" si="195"/>
        <v>-0.23899179196306836</v>
      </c>
      <c r="BB193" s="58" t="str">
        <f t="shared" si="196"/>
        <v>-1,02004904479821+0,364375338225312i</v>
      </c>
      <c r="BC193">
        <f t="shared" si="197"/>
        <v>0.69397759139279425</v>
      </c>
      <c r="BD193" s="60">
        <f t="shared" si="198"/>
        <v>160.34258392198004</v>
      </c>
      <c r="BE193" s="58" t="str">
        <f t="shared" si="199"/>
        <v>0,15758787993997+3,78896668479416i</v>
      </c>
      <c r="BF193" s="37">
        <f t="shared" si="200"/>
        <v>11.577921810347169</v>
      </c>
      <c r="BG193" s="60">
        <f t="shared" si="201"/>
        <v>87.618369259494131</v>
      </c>
      <c r="BH193" s="58" t="str">
        <f t="shared" si="202"/>
        <v>-2,50832271515932+10,3367846213074i</v>
      </c>
      <c r="BI193" s="37">
        <f t="shared" si="203"/>
        <v>20.536192419800084</v>
      </c>
      <c r="BJ193" s="60">
        <f t="shared" si="204"/>
        <v>103.63974475289085</v>
      </c>
      <c r="BK193">
        <f t="shared" si="205"/>
        <v>11.577921810347169</v>
      </c>
      <c r="BL193" s="60">
        <f t="shared" si="206"/>
        <v>87.618369259494131</v>
      </c>
      <c r="BN193">
        <f t="shared" si="207"/>
        <v>0</v>
      </c>
      <c r="BO193">
        <f t="shared" si="208"/>
        <v>0</v>
      </c>
    </row>
    <row r="194" spans="13:67" x14ac:dyDescent="0.25">
      <c r="M194" s="66">
        <v>76</v>
      </c>
      <c r="N194" s="36">
        <f t="shared" si="209"/>
        <v>575.43993733715706</v>
      </c>
      <c r="O194" s="91" t="str">
        <f t="shared" si="157"/>
        <v>13,7404580152672</v>
      </c>
      <c r="P194" s="67" t="str">
        <f t="shared" si="158"/>
        <v>1+3,90484342019646i</v>
      </c>
      <c r="Q194" s="67">
        <f t="shared" si="169"/>
        <v>4.0308562534840648</v>
      </c>
      <c r="R194" s="67">
        <f t="shared" si="170"/>
        <v>1.320092084484777</v>
      </c>
      <c r="S194" s="67" t="str">
        <f t="shared" si="159"/>
        <v>1+0,108467872783235i</v>
      </c>
      <c r="T194" s="67">
        <f t="shared" si="171"/>
        <v>1.0058654380314098</v>
      </c>
      <c r="U194" s="67">
        <f t="shared" si="172"/>
        <v>0.10804546569619962</v>
      </c>
      <c r="V194" t="str">
        <f t="shared" si="160"/>
        <v>1-0,0225974734965073i</v>
      </c>
      <c r="W194" s="67">
        <f t="shared" si="173"/>
        <v>1.0002552903176396</v>
      </c>
      <c r="X194" s="67">
        <f t="shared" si="174"/>
        <v>-2.259362823953651E-2</v>
      </c>
      <c r="Y194" t="str">
        <f t="shared" si="161"/>
        <v>0,999978807608225+0,0392103540120566i</v>
      </c>
      <c r="Z194" s="67">
        <f t="shared" si="175"/>
        <v>1.0007472545689637</v>
      </c>
      <c r="AA194" s="67">
        <f t="shared" si="176"/>
        <v>3.9191107554363634E-2</v>
      </c>
      <c r="AB194" s="92" t="str">
        <f t="shared" si="177"/>
        <v>1,00284385084782-3,27711849255112i</v>
      </c>
      <c r="AC194" s="37">
        <f t="shared" si="178"/>
        <v>10.698604683368655</v>
      </c>
      <c r="AD194" s="60">
        <f t="shared" si="179"/>
        <v>-72.985160429008658</v>
      </c>
      <c r="AE194" t="str">
        <f t="shared" si="180"/>
        <v>21,0353732052265</v>
      </c>
      <c r="AF194" t="str">
        <f t="shared" si="162"/>
        <v>1+1,95242171009823i</v>
      </c>
      <c r="AG194">
        <f t="shared" si="181"/>
        <v>2.1936158583632861</v>
      </c>
      <c r="AH194">
        <f t="shared" si="182"/>
        <v>1.0974487552031851</v>
      </c>
      <c r="AI194" t="str">
        <f t="shared" si="163"/>
        <v>1+0,108467872783235i</v>
      </c>
      <c r="AJ194">
        <f t="shared" si="183"/>
        <v>1.0058654380314098</v>
      </c>
      <c r="AK194">
        <f t="shared" si="184"/>
        <v>0.10804546569619962</v>
      </c>
      <c r="AL194" t="str">
        <f t="shared" si="164"/>
        <v>1-0,00738030393900124i</v>
      </c>
      <c r="AM194">
        <f t="shared" si="185"/>
        <v>1.0000272340722687</v>
      </c>
      <c r="AN194">
        <f t="shared" si="186"/>
        <v>-7.3801699444017979E-3</v>
      </c>
      <c r="AO194" s="58" t="str">
        <f t="shared" si="187"/>
        <v>5,23776599208721-8,09991329831778i</v>
      </c>
      <c r="AP194">
        <f t="shared" si="188"/>
        <v>19.686827155541312</v>
      </c>
      <c r="AQ194" s="60">
        <f t="shared" si="189"/>
        <v>-57.111485315014114</v>
      </c>
      <c r="AR194" t="str">
        <f t="shared" si="165"/>
        <v>-1,05811623246493</v>
      </c>
      <c r="AS194" t="str">
        <f t="shared" si="166"/>
        <v>1+0,106905935415157i</v>
      </c>
      <c r="AT194">
        <f t="shared" si="190"/>
        <v>1.0056982047448377</v>
      </c>
      <c r="AU194">
        <f t="shared" si="191"/>
        <v>0.10650143394446504</v>
      </c>
      <c r="AV194" t="str">
        <f t="shared" si="167"/>
        <v>1+0,106905935415157i</v>
      </c>
      <c r="AW194">
        <f t="shared" si="192"/>
        <v>1.0056982047448377</v>
      </c>
      <c r="AX194">
        <f t="shared" si="193"/>
        <v>0.10650143394446504</v>
      </c>
      <c r="AY194" t="str">
        <f t="shared" si="168"/>
        <v>1-0,238102265844228i</v>
      </c>
      <c r="AZ194">
        <f t="shared" si="194"/>
        <v>1.027955587075704</v>
      </c>
      <c r="BA194">
        <f t="shared" si="195"/>
        <v>-0.23374983158219939</v>
      </c>
      <c r="BB194" s="58" t="str">
        <f t="shared" si="196"/>
        <v>-1,01953027653459+0,360933710373462i</v>
      </c>
      <c r="BC194">
        <f t="shared" si="197"/>
        <v>0.68080106722362643</v>
      </c>
      <c r="BD194" s="60">
        <f t="shared" si="198"/>
        <v>160.50503851133698</v>
      </c>
      <c r="BE194" s="58" t="str">
        <f t="shared" si="199"/>
        <v>0,160392868274071+3,70308167495898i</v>
      </c>
      <c r="BF194" s="37">
        <f t="shared" si="200"/>
        <v>11.379405750592291</v>
      </c>
      <c r="BG194" s="60">
        <f t="shared" si="201"/>
        <v>87.519878082328333</v>
      </c>
      <c r="BH194" s="58" t="str">
        <f t="shared" si="202"/>
        <v>-2,41652924987096+10,1485931585321i</v>
      </c>
      <c r="BI194" s="37">
        <f t="shared" si="203"/>
        <v>20.367628222764935</v>
      </c>
      <c r="BJ194" s="60">
        <f t="shared" si="204"/>
        <v>103.39355319632286</v>
      </c>
      <c r="BK194">
        <f t="shared" si="205"/>
        <v>11.379405750592291</v>
      </c>
      <c r="BL194" s="60">
        <f t="shared" si="206"/>
        <v>87.519878082328333</v>
      </c>
      <c r="BN194">
        <f t="shared" si="207"/>
        <v>0</v>
      </c>
      <c r="BO194">
        <f t="shared" si="208"/>
        <v>0</v>
      </c>
    </row>
    <row r="195" spans="13:67" x14ac:dyDescent="0.25">
      <c r="M195" s="66">
        <v>77</v>
      </c>
      <c r="N195" s="36">
        <f t="shared" si="209"/>
        <v>588.84365535558959</v>
      </c>
      <c r="O195" s="91" t="str">
        <f t="shared" si="157"/>
        <v>13,7404580152672</v>
      </c>
      <c r="P195" s="67" t="str">
        <f t="shared" si="158"/>
        <v>1+3,99579890784065i</v>
      </c>
      <c r="Q195" s="67">
        <f t="shared" si="169"/>
        <v>4.1190300935900597</v>
      </c>
      <c r="R195" s="67">
        <f t="shared" si="170"/>
        <v>1.3255702960839306</v>
      </c>
      <c r="S195" s="67" t="str">
        <f t="shared" si="159"/>
        <v>1+0,110994414106685i</v>
      </c>
      <c r="T195" s="67">
        <f t="shared" si="171"/>
        <v>1.0061410238942086</v>
      </c>
      <c r="U195" s="67">
        <f t="shared" si="172"/>
        <v>0.11054194582770986</v>
      </c>
      <c r="V195" t="str">
        <f t="shared" si="160"/>
        <v>1-0,023123836272226i</v>
      </c>
      <c r="W195" s="67">
        <f t="shared" si="173"/>
        <v>1.0002673201719352</v>
      </c>
      <c r="X195" s="67">
        <f t="shared" si="174"/>
        <v>-2.3119716064617015E-2</v>
      </c>
      <c r="Y195" t="str">
        <f t="shared" si="161"/>
        <v>0,999977808841571+0,0401236804853851i</v>
      </c>
      <c r="Z195" s="67">
        <f t="shared" si="175"/>
        <v>1.0007824578355091</v>
      </c>
      <c r="AA195" s="67">
        <f t="shared" si="176"/>
        <v>4.0103058404970131E-2</v>
      </c>
      <c r="AB195" s="92" t="str">
        <f t="shared" si="177"/>
        <v>0,967435515444453-3,21207857993831i</v>
      </c>
      <c r="AC195" s="37">
        <f t="shared" si="178"/>
        <v>10.51282995029638</v>
      </c>
      <c r="AD195" s="60">
        <f t="shared" si="179"/>
        <v>-73.23839460463941</v>
      </c>
      <c r="AE195" t="str">
        <f t="shared" si="180"/>
        <v>21,0353732052265</v>
      </c>
      <c r="AF195" t="str">
        <f t="shared" si="162"/>
        <v>1+1,99789945392033i</v>
      </c>
      <c r="AG195">
        <f t="shared" si="181"/>
        <v>2.2341893894598894</v>
      </c>
      <c r="AH195">
        <f t="shared" si="182"/>
        <v>1.106728255322595</v>
      </c>
      <c r="AI195" t="str">
        <f t="shared" si="163"/>
        <v>1+0,110994414106685i</v>
      </c>
      <c r="AJ195">
        <f t="shared" si="183"/>
        <v>1.0061410238942086</v>
      </c>
      <c r="AK195">
        <f t="shared" si="184"/>
        <v>0.11054194582770986</v>
      </c>
      <c r="AL195" t="str">
        <f t="shared" si="164"/>
        <v>1-0,00755221330168202i</v>
      </c>
      <c r="AM195">
        <f t="shared" si="185"/>
        <v>1.0000285175562516</v>
      </c>
      <c r="AN195">
        <f t="shared" si="186"/>
        <v>-7.5520697241030516E-3</v>
      </c>
      <c r="AO195" s="58" t="str">
        <f t="shared" si="187"/>
        <v>5,08861182141611-7,99058948011655i</v>
      </c>
      <c r="AP195">
        <f t="shared" si="188"/>
        <v>19.530029570984663</v>
      </c>
      <c r="AQ195" s="60">
        <f t="shared" si="189"/>
        <v>-57.509972864549724</v>
      </c>
      <c r="AR195" t="str">
        <f t="shared" si="165"/>
        <v>-1,05811623246493</v>
      </c>
      <c r="AS195" t="str">
        <f t="shared" si="166"/>
        <v>1+0,109396094543549i</v>
      </c>
      <c r="AT195">
        <f t="shared" si="190"/>
        <v>1.0059659564326127</v>
      </c>
      <c r="AU195">
        <f t="shared" si="191"/>
        <v>0.10896280211733753</v>
      </c>
      <c r="AV195" t="str">
        <f t="shared" si="167"/>
        <v>1+0,109396094543549i</v>
      </c>
      <c r="AW195">
        <f t="shared" si="192"/>
        <v>1.0059659564326127</v>
      </c>
      <c r="AX195">
        <f t="shared" si="193"/>
        <v>0.10896280211733753</v>
      </c>
      <c r="AY195" t="str">
        <f t="shared" si="168"/>
        <v>1-0,232682396576895i</v>
      </c>
      <c r="AZ195">
        <f t="shared" si="194"/>
        <v>1.0267137369670123</v>
      </c>
      <c r="BA195">
        <f t="shared" si="195"/>
        <v>-0.22861451767632118</v>
      </c>
      <c r="BB195" s="58" t="str">
        <f t="shared" si="196"/>
        <v>-1,01898762472473+0,357678287359948i</v>
      </c>
      <c r="BC195">
        <f t="shared" si="197"/>
        <v>0.66798931834989306</v>
      </c>
      <c r="BD195" s="60">
        <f t="shared" si="198"/>
        <v>160.65824431648528</v>
      </c>
      <c r="BE195" s="58" t="str">
        <f t="shared" si="199"/>
        <v>0,16308594738082+3,61909900089588i</v>
      </c>
      <c r="BF195" s="37">
        <f t="shared" si="200"/>
        <v>11.180819268646268</v>
      </c>
      <c r="BG195" s="60">
        <f t="shared" si="201"/>
        <v>87.419849711845899</v>
      </c>
      <c r="BH195" s="58" t="str">
        <f t="shared" si="202"/>
        <v>-2,32717211280648+9,96239775581808i</v>
      </c>
      <c r="BI195" s="37">
        <f t="shared" si="203"/>
        <v>20.198018889334556</v>
      </c>
      <c r="BJ195" s="60">
        <f t="shared" si="204"/>
        <v>103.14827145193557</v>
      </c>
      <c r="BK195">
        <f t="shared" si="205"/>
        <v>11.180819268646268</v>
      </c>
      <c r="BL195" s="60">
        <f t="shared" si="206"/>
        <v>87.419849711845899</v>
      </c>
      <c r="BN195">
        <f t="shared" si="207"/>
        <v>0</v>
      </c>
      <c r="BO195">
        <f t="shared" si="208"/>
        <v>0</v>
      </c>
    </row>
    <row r="196" spans="13:67" x14ac:dyDescent="0.25">
      <c r="M196" s="66">
        <v>78</v>
      </c>
      <c r="N196" s="36">
        <f t="shared" si="209"/>
        <v>602.55958607435832</v>
      </c>
      <c r="O196" s="91" t="str">
        <f t="shared" si="157"/>
        <v>13,7404580152672</v>
      </c>
      <c r="P196" s="67" t="str">
        <f t="shared" si="158"/>
        <v>1+4,08887302095643i</v>
      </c>
      <c r="Q196" s="67">
        <f t="shared" si="169"/>
        <v>4.2093803084902364</v>
      </c>
      <c r="R196" s="67">
        <f t="shared" si="170"/>
        <v>1.3309383622762643</v>
      </c>
      <c r="S196" s="67" t="str">
        <f t="shared" si="159"/>
        <v>1+0,113579806137679i</v>
      </c>
      <c r="T196" s="67">
        <f t="shared" si="171"/>
        <v>1.0064295168377528</v>
      </c>
      <c r="U196" s="67">
        <f t="shared" si="172"/>
        <v>0.11309514476636534</v>
      </c>
      <c r="V196" t="str">
        <f t="shared" si="160"/>
        <v>1-0,0236624596120164i</v>
      </c>
      <c r="W196" s="67">
        <f t="shared" si="173"/>
        <v>1.0002799168207319</v>
      </c>
      <c r="X196" s="67">
        <f t="shared" si="174"/>
        <v>-2.3658044796744545E-2</v>
      </c>
      <c r="Y196" t="str">
        <f t="shared" si="161"/>
        <v>0,999976763004495+0,0410582810652066i</v>
      </c>
      <c r="Z196" s="67">
        <f t="shared" si="175"/>
        <v>1.0008193188547958</v>
      </c>
      <c r="AA196" s="67">
        <f t="shared" si="176"/>
        <v>4.1036185084612244E-2</v>
      </c>
      <c r="AB196" s="92" t="str">
        <f t="shared" si="177"/>
        <v>0,933434268657665-3,14798940619646i</v>
      </c>
      <c r="AC196" s="37">
        <f t="shared" si="178"/>
        <v>10.326645581904554</v>
      </c>
      <c r="AD196" s="60">
        <f t="shared" si="179"/>
        <v>-73.483982803000828</v>
      </c>
      <c r="AE196" t="str">
        <f t="shared" si="180"/>
        <v>21,0353732052265</v>
      </c>
      <c r="AF196" t="str">
        <f t="shared" si="162"/>
        <v>1+2,04443651047822i</v>
      </c>
      <c r="AG196">
        <f t="shared" si="181"/>
        <v>2.2758999638332873</v>
      </c>
      <c r="AH196">
        <f t="shared" si="182"/>
        <v>1.1158805884709968</v>
      </c>
      <c r="AI196" t="str">
        <f t="shared" si="163"/>
        <v>1+0,113579806137679i</v>
      </c>
      <c r="AJ196">
        <f t="shared" si="183"/>
        <v>1.0064295168377528</v>
      </c>
      <c r="AK196">
        <f t="shared" si="184"/>
        <v>0.11309514476636534</v>
      </c>
      <c r="AL196" t="str">
        <f t="shared" si="164"/>
        <v>1-0,0077281269478207i</v>
      </c>
      <c r="AM196">
        <f t="shared" si="185"/>
        <v>1.0000298615272054</v>
      </c>
      <c r="AN196">
        <f t="shared" si="186"/>
        <v>-7.7279731019211486E-3</v>
      </c>
      <c r="AO196" s="58" t="str">
        <f t="shared" si="187"/>
        <v>4,94351756603304-7,8800782260298i</v>
      </c>
      <c r="AP196">
        <f t="shared" si="188"/>
        <v>19.371867731171793</v>
      </c>
      <c r="AQ196" s="60">
        <f t="shared" si="189"/>
        <v>-57.898153924359718</v>
      </c>
      <c r="AR196" t="str">
        <f t="shared" si="165"/>
        <v>-1,05811623246493</v>
      </c>
      <c r="AS196" t="str">
        <f t="shared" si="166"/>
        <v>1+0,111944256929296i</v>
      </c>
      <c r="AT196">
        <f t="shared" si="190"/>
        <v>1.0062462505070278</v>
      </c>
      <c r="AU196">
        <f t="shared" si="191"/>
        <v>0.11148013124222603</v>
      </c>
      <c r="AV196" t="str">
        <f t="shared" si="167"/>
        <v>1+0,111944256929296i</v>
      </c>
      <c r="AW196">
        <f t="shared" si="192"/>
        <v>1.0062462505070278</v>
      </c>
      <c r="AX196">
        <f t="shared" si="193"/>
        <v>0.11148013124222603</v>
      </c>
      <c r="AY196" t="str">
        <f t="shared" si="168"/>
        <v>1-0,227385898596143i</v>
      </c>
      <c r="AZ196">
        <f t="shared" si="194"/>
        <v>1.0255263755166786</v>
      </c>
      <c r="BA196">
        <f t="shared" si="195"/>
        <v>-0.22358421131882417</v>
      </c>
      <c r="BB196" s="58" t="str">
        <f t="shared" si="196"/>
        <v>-1,01842001731614+0,354606982418579i</v>
      </c>
      <c r="BC196">
        <f t="shared" si="197"/>
        <v>0.65551872553712187</v>
      </c>
      <c r="BD196" s="60">
        <f t="shared" si="198"/>
        <v>160.80222730592618</v>
      </c>
      <c r="BE196" s="58" t="str">
        <f t="shared" si="199"/>
        <v>0,165670879967163+3,53697773486441i</v>
      </c>
      <c r="BF196" s="37">
        <f t="shared" si="200"/>
        <v>10.982164307441675</v>
      </c>
      <c r="BG196" s="60">
        <f t="shared" si="201"/>
        <v>87.318244502925367</v>
      </c>
      <c r="BH196" s="58" t="str">
        <f t="shared" si="202"/>
        <v>-2,24024648424723+9,77823525003002i</v>
      </c>
      <c r="BI196" s="37">
        <f t="shared" si="203"/>
        <v>20.027386456708918</v>
      </c>
      <c r="BJ196" s="60">
        <f t="shared" si="204"/>
        <v>102.90407338156645</v>
      </c>
      <c r="BK196">
        <f t="shared" si="205"/>
        <v>10.982164307441675</v>
      </c>
      <c r="BL196" s="60">
        <f t="shared" si="206"/>
        <v>87.318244502925367</v>
      </c>
      <c r="BN196">
        <f t="shared" si="207"/>
        <v>0</v>
      </c>
      <c r="BO196">
        <f t="shared" si="208"/>
        <v>0</v>
      </c>
    </row>
    <row r="197" spans="13:67" x14ac:dyDescent="0.25">
      <c r="M197" s="66">
        <v>79</v>
      </c>
      <c r="N197" s="36">
        <f t="shared" si="209"/>
        <v>616.59500186148273</v>
      </c>
      <c r="O197" s="91" t="str">
        <f t="shared" si="157"/>
        <v>13,7404580152672</v>
      </c>
      <c r="P197" s="67" t="str">
        <f t="shared" si="158"/>
        <v>1+4,18411510867056i</v>
      </c>
      <c r="Q197" s="67">
        <f t="shared" si="169"/>
        <v>4.3019552813349016</v>
      </c>
      <c r="R197" s="67">
        <f t="shared" si="170"/>
        <v>1.3361978912536774</v>
      </c>
      <c r="S197" s="67" t="str">
        <f t="shared" si="159"/>
        <v>1+0,116225419685293i</v>
      </c>
      <c r="T197" s="67">
        <f t="shared" si="171"/>
        <v>1.0067315174270757</v>
      </c>
      <c r="U197" s="67">
        <f t="shared" si="172"/>
        <v>0.1157062830290338</v>
      </c>
      <c r="V197" t="str">
        <f t="shared" si="160"/>
        <v>1-0,0242136291011028i</v>
      </c>
      <c r="W197" s="67">
        <f t="shared" si="173"/>
        <v>1.0002931069612775</v>
      </c>
      <c r="X197" s="67">
        <f t="shared" si="174"/>
        <v>-2.420889861617136E-2</v>
      </c>
      <c r="Y197" t="str">
        <f t="shared" si="161"/>
        <v>0,999975667878635+0,0420146512891195i</v>
      </c>
      <c r="Z197" s="67">
        <f t="shared" si="175"/>
        <v>1.0008579156265232</v>
      </c>
      <c r="AA197" s="67">
        <f t="shared" si="176"/>
        <v>4.1990976115084497E-2</v>
      </c>
      <c r="AB197" s="92" t="str">
        <f t="shared" si="177"/>
        <v>0,900791504746872-3,08486157194333i</v>
      </c>
      <c r="AC197" s="37">
        <f t="shared" si="178"/>
        <v>10.140076615746622</v>
      </c>
      <c r="AD197" s="60">
        <f t="shared" si="179"/>
        <v>-73.721991508802148</v>
      </c>
      <c r="AE197" t="str">
        <f t="shared" si="180"/>
        <v>21,0353732052265</v>
      </c>
      <c r="AF197" t="str">
        <f t="shared" si="162"/>
        <v>1+2,09205755433528i</v>
      </c>
      <c r="AG197">
        <f t="shared" si="181"/>
        <v>2.3187722636454215</v>
      </c>
      <c r="AH197">
        <f t="shared" si="182"/>
        <v>1.1249044732066695</v>
      </c>
      <c r="AI197" t="str">
        <f t="shared" si="163"/>
        <v>1+0,116225419685293i</v>
      </c>
      <c r="AJ197">
        <f t="shared" si="183"/>
        <v>1.0067315174270757</v>
      </c>
      <c r="AK197">
        <f t="shared" si="184"/>
        <v>0.1157062830290338</v>
      </c>
      <c r="AL197" t="str">
        <f t="shared" si="164"/>
        <v>1-0,00790813814916099i</v>
      </c>
      <c r="AM197">
        <f t="shared" si="185"/>
        <v>1.0000312688356232</v>
      </c>
      <c r="AN197">
        <f t="shared" si="186"/>
        <v>-7.9079733005879751E-3</v>
      </c>
      <c r="AO197" s="58" t="str">
        <f t="shared" si="187"/>
        <v>4,80246727251171-7,76854349521794i</v>
      </c>
      <c r="AP197">
        <f t="shared" si="188"/>
        <v>19.21238739101025</v>
      </c>
      <c r="AQ197" s="60">
        <f t="shared" si="189"/>
        <v>-58.275890484045341</v>
      </c>
      <c r="AR197" t="str">
        <f t="shared" si="165"/>
        <v>-1,05811623246493</v>
      </c>
      <c r="AS197" t="str">
        <f t="shared" si="166"/>
        <v>1+0,114551773641825i</v>
      </c>
      <c r="AT197">
        <f t="shared" si="190"/>
        <v>1.0065396707753191</v>
      </c>
      <c r="AU197">
        <f t="shared" si="191"/>
        <v>0.11405462835365687</v>
      </c>
      <c r="AV197" t="str">
        <f t="shared" si="167"/>
        <v>1+0,114551773641825i</v>
      </c>
      <c r="AW197">
        <f t="shared" si="192"/>
        <v>1.0065396707753191</v>
      </c>
      <c r="AX197">
        <f t="shared" si="193"/>
        <v>0.11405462835365687</v>
      </c>
      <c r="AY197" t="str">
        <f t="shared" si="168"/>
        <v>1-0,222209963628634i</v>
      </c>
      <c r="AZ197">
        <f t="shared" si="194"/>
        <v>1.0243911693956751</v>
      </c>
      <c r="BA197">
        <f t="shared" si="195"/>
        <v>-0.21865726412502157</v>
      </c>
      <c r="BB197" s="58" t="str">
        <f t="shared" si="196"/>
        <v>-1,01782633675379+0,351717781665407i</v>
      </c>
      <c r="BC197">
        <f t="shared" si="197"/>
        <v>0.64336613065834491</v>
      </c>
      <c r="BD197" s="60">
        <f t="shared" si="198"/>
        <v>160.93701276716132</v>
      </c>
      <c r="BE197" s="58" t="str">
        <f t="shared" si="199"/>
        <v>0,168151351373326+3,45667774295623i</v>
      </c>
      <c r="BF197" s="37">
        <f t="shared" si="200"/>
        <v>10.783442746404964</v>
      </c>
      <c r="BG197" s="60">
        <f t="shared" si="201"/>
        <v>87.215021258359158</v>
      </c>
      <c r="BH197" s="58" t="str">
        <f t="shared" si="202"/>
        <v>-2,15574278645128+9,5961413032587i</v>
      </c>
      <c r="BI197" s="37">
        <f t="shared" si="203"/>
        <v>19.855753521668596</v>
      </c>
      <c r="BJ197" s="60">
        <f t="shared" si="204"/>
        <v>102.66112228311597</v>
      </c>
      <c r="BK197">
        <f t="shared" si="205"/>
        <v>10.783442746404964</v>
      </c>
      <c r="BL197" s="60">
        <f t="shared" si="206"/>
        <v>87.215021258359158</v>
      </c>
      <c r="BN197">
        <f t="shared" si="207"/>
        <v>0</v>
      </c>
      <c r="BO197">
        <f t="shared" si="208"/>
        <v>0</v>
      </c>
    </row>
    <row r="198" spans="13:67" x14ac:dyDescent="0.25">
      <c r="M198" s="66">
        <v>80</v>
      </c>
      <c r="N198" s="36">
        <f t="shared" si="209"/>
        <v>630.95734448019323</v>
      </c>
      <c r="O198" s="91" t="str">
        <f t="shared" si="157"/>
        <v>13,7404580152672</v>
      </c>
      <c r="P198" s="67" t="str">
        <f t="shared" si="158"/>
        <v>1+4,2815756695986i</v>
      </c>
      <c r="Q198" s="67">
        <f t="shared" si="169"/>
        <v>4.3968045458604017</v>
      </c>
      <c r="R198" s="67">
        <f t="shared" si="170"/>
        <v>1.3413505072406127</v>
      </c>
      <c r="S198" s="67" t="str">
        <f t="shared" si="159"/>
        <v>1+0,11893265748885i</v>
      </c>
      <c r="T198" s="67">
        <f t="shared" si="171"/>
        <v>1.0070476537966613</v>
      </c>
      <c r="U198" s="67">
        <f t="shared" si="172"/>
        <v>0.11837660257599894</v>
      </c>
      <c r="V198" t="str">
        <f t="shared" si="160"/>
        <v>1-0,0247776369768438i</v>
      </c>
      <c r="W198" s="67">
        <f t="shared" si="173"/>
        <v>1.0003069185475806</v>
      </c>
      <c r="X198" s="67">
        <f t="shared" si="174"/>
        <v>-2.4772568254909273E-2</v>
      </c>
      <c r="Y198" t="str">
        <f t="shared" si="161"/>
        <v>0,999974521141085+0,0429932982372755i</v>
      </c>
      <c r="Z198" s="67">
        <f t="shared" si="175"/>
        <v>1.0008983298141032</v>
      </c>
      <c r="AA198" s="67">
        <f t="shared" si="176"/>
        <v>4.2967931060543918E-2</v>
      </c>
      <c r="AB198" s="92" t="str">
        <f t="shared" si="177"/>
        <v>0,869459654881666-3,02270376962728i</v>
      </c>
      <c r="AC198" s="37">
        <f t="shared" si="178"/>
        <v>9.9531475880595046</v>
      </c>
      <c r="AD198" s="60">
        <f t="shared" si="179"/>
        <v>-73.952487904801401</v>
      </c>
      <c r="AE198" t="str">
        <f t="shared" si="180"/>
        <v>21,0353732052265</v>
      </c>
      <c r="AF198" t="str">
        <f t="shared" si="162"/>
        <v>1+2,1407878347993i</v>
      </c>
      <c r="AG198">
        <f t="shared" si="181"/>
        <v>2.362831469577269</v>
      </c>
      <c r="AH198">
        <f t="shared" si="182"/>
        <v>1.1337988145748354</v>
      </c>
      <c r="AI198" t="str">
        <f t="shared" si="163"/>
        <v>1+0,11893265748885i</v>
      </c>
      <c r="AJ198">
        <f t="shared" si="183"/>
        <v>1.0070476537966613</v>
      </c>
      <c r="AK198">
        <f t="shared" si="184"/>
        <v>0.11837660257599894</v>
      </c>
      <c r="AL198" t="str">
        <f t="shared" si="164"/>
        <v>1-0,00809234235002452i</v>
      </c>
      <c r="AM198">
        <f t="shared" si="185"/>
        <v>1.0000327424663205</v>
      </c>
      <c r="AN198">
        <f t="shared" si="186"/>
        <v>-8.0921657119084472E-3</v>
      </c>
      <c r="AO198" s="58" t="str">
        <f t="shared" si="187"/>
        <v>4,66543753075543-7,6561445147272i</v>
      </c>
      <c r="AP198">
        <f t="shared" si="188"/>
        <v>19.051634335904307</v>
      </c>
      <c r="AQ198" s="60">
        <f t="shared" si="189"/>
        <v>-58.643054113784501</v>
      </c>
      <c r="AR198" t="str">
        <f t="shared" si="165"/>
        <v>-1,05811623246493</v>
      </c>
      <c r="AS198" t="str">
        <f t="shared" si="166"/>
        <v>1+0,117220027221011i</v>
      </c>
      <c r="AT198">
        <f t="shared" si="190"/>
        <v>1.0068468278649412</v>
      </c>
      <c r="AU198">
        <f t="shared" si="191"/>
        <v>0.11668752189931425</v>
      </c>
      <c r="AV198" t="str">
        <f t="shared" si="167"/>
        <v>1+0,117220027221011i</v>
      </c>
      <c r="AW198">
        <f t="shared" si="192"/>
        <v>1.0068468278649412</v>
      </c>
      <c r="AX198">
        <f t="shared" si="193"/>
        <v>0.11668752189931425</v>
      </c>
      <c r="AY198" t="str">
        <f t="shared" si="168"/>
        <v>1-0,217151847325138i</v>
      </c>
      <c r="AZ198">
        <f t="shared" si="194"/>
        <v>1.0233058803684849</v>
      </c>
      <c r="BA198">
        <f t="shared" si="195"/>
        <v>-0.21383202100136173</v>
      </c>
      <c r="BB198" s="58" t="str">
        <f t="shared" si="196"/>
        <v>-1,01720541829919+0,349008741386866i</v>
      </c>
      <c r="BC198">
        <f t="shared" si="197"/>
        <v>0.63150881122330593</v>
      </c>
      <c r="BD198" s="60">
        <f t="shared" si="198"/>
        <v>161.0626251451981</v>
      </c>
      <c r="BE198" s="58" t="str">
        <f t="shared" si="199"/>
        <v>0,170530966284778+3,37815967221516i</v>
      </c>
      <c r="BF198" s="37">
        <f t="shared" si="200"/>
        <v>10.584656399282796</v>
      </c>
      <c r="BG198" s="60">
        <f t="shared" si="201"/>
        <v>87.110137240396682</v>
      </c>
      <c r="BH198" s="58" t="str">
        <f t="shared" si="202"/>
        <v>-2,07364697405992+9,41615016429013i</v>
      </c>
      <c r="BI198" s="37">
        <f t="shared" si="203"/>
        <v>19.683143147127609</v>
      </c>
      <c r="BJ198" s="60">
        <f t="shared" si="204"/>
        <v>102.4195710314136</v>
      </c>
      <c r="BK198">
        <f t="shared" si="205"/>
        <v>10.584656399282796</v>
      </c>
      <c r="BL198" s="60">
        <f t="shared" si="206"/>
        <v>87.110137240396682</v>
      </c>
      <c r="BN198">
        <f t="shared" si="207"/>
        <v>0</v>
      </c>
      <c r="BO198">
        <f t="shared" si="208"/>
        <v>0</v>
      </c>
    </row>
    <row r="199" spans="13:67" x14ac:dyDescent="0.25">
      <c r="M199" s="66">
        <v>81</v>
      </c>
      <c r="N199" s="36">
        <f t="shared" si="209"/>
        <v>645.65422903465594</v>
      </c>
      <c r="O199" s="91" t="str">
        <f t="shared" si="157"/>
        <v>13,7404580152672</v>
      </c>
      <c r="P199" s="67" t="str">
        <f t="shared" si="158"/>
        <v>1+4,38130637862002i</v>
      </c>
      <c r="Q199" s="67">
        <f t="shared" si="169"/>
        <v>4.4939788142954651</v>
      </c>
      <c r="R199" s="67">
        <f t="shared" si="170"/>
        <v>1.3463978473459055</v>
      </c>
      <c r="S199" s="67" t="str">
        <f t="shared" si="159"/>
        <v>1+0,121702954961667i</v>
      </c>
      <c r="T199" s="67">
        <f t="shared" si="171"/>
        <v>1.0073785828805382</v>
      </c>
      <c r="U199" s="67">
        <f t="shared" si="172"/>
        <v>0.12110736683596951</v>
      </c>
      <c r="V199" t="str">
        <f t="shared" si="160"/>
        <v>1-0,0253547822836807i</v>
      </c>
      <c r="W199" s="67">
        <f t="shared" si="173"/>
        <v>1.0003213808495013</v>
      </c>
      <c r="X199" s="67">
        <f t="shared" si="174"/>
        <v>-2.5349351144512464E-2</v>
      </c>
      <c r="Y199" t="str">
        <f t="shared" si="161"/>
        <v>0,999973320359458+0,0439947408012405i</v>
      </c>
      <c r="Z199" s="67">
        <f t="shared" si="175"/>
        <v>1.0009406469161333</v>
      </c>
      <c r="AA199" s="67">
        <f t="shared" si="176"/>
        <v>4.3967560760789733E-2</v>
      </c>
      <c r="AB199" s="92" t="str">
        <f t="shared" si="177"/>
        <v>0,839392222110624-2,96152289591083i</v>
      </c>
      <c r="AC199" s="37">
        <f t="shared" si="178"/>
        <v>9.7658825579228132</v>
      </c>
      <c r="AD199" s="60">
        <f t="shared" si="179"/>
        <v>-74.175539711829884</v>
      </c>
      <c r="AE199" t="str">
        <f t="shared" si="180"/>
        <v>21,0353732052265</v>
      </c>
      <c r="AF199" t="str">
        <f t="shared" si="162"/>
        <v>1+2,19065318931001i</v>
      </c>
      <c r="AG199">
        <f t="shared" si="181"/>
        <v>2.4081032776511311</v>
      </c>
      <c r="AH199">
        <f t="shared" si="182"/>
        <v>1.1425626984652018</v>
      </c>
      <c r="AI199" t="str">
        <f t="shared" si="163"/>
        <v>1+0,121702954961667i</v>
      </c>
      <c r="AJ199">
        <f t="shared" si="183"/>
        <v>1.0073785828805382</v>
      </c>
      <c r="AK199">
        <f t="shared" si="184"/>
        <v>0.12110736683596951</v>
      </c>
      <c r="AL199" t="str">
        <f t="shared" si="164"/>
        <v>1-0,00828083721791686i</v>
      </c>
      <c r="AM199">
        <f t="shared" si="185"/>
        <v>1.0000342855447655</v>
      </c>
      <c r="AN199">
        <f t="shared" si="186"/>
        <v>-8.2806479471159121E-3</v>
      </c>
      <c r="AO199" s="58" t="str">
        <f t="shared" si="187"/>
        <v>4,53239796601913-7,54303548301508i</v>
      </c>
      <c r="AP199">
        <f t="shared" si="188"/>
        <v>18.889654319017367</v>
      </c>
      <c r="AQ199" s="60">
        <f t="shared" si="189"/>
        <v>-58.99952564249427</v>
      </c>
      <c r="AR199" t="str">
        <f t="shared" si="165"/>
        <v>-1,05811623246493</v>
      </c>
      <c r="AS199" t="str">
        <f t="shared" si="166"/>
        <v>1+0,119950432410219i</v>
      </c>
      <c r="AT199">
        <f t="shared" si="190"/>
        <v>1.0071683604221284</v>
      </c>
      <c r="AU199">
        <f t="shared" si="191"/>
        <v>0.11938006178293679</v>
      </c>
      <c r="AV199" t="str">
        <f t="shared" si="167"/>
        <v>1+0,119950432410219i</v>
      </c>
      <c r="AW199">
        <f t="shared" si="192"/>
        <v>1.0071683604221284</v>
      </c>
      <c r="AX199">
        <f t="shared" si="193"/>
        <v>0.11938006178293679</v>
      </c>
      <c r="AY199" t="str">
        <f t="shared" si="168"/>
        <v>1-0,212208867805439i</v>
      </c>
      <c r="AZ199">
        <f t="shared" si="194"/>
        <v>1.0222683618185913</v>
      </c>
      <c r="BA199">
        <f t="shared" si="195"/>
        <v>-0.20910682271967398</v>
      </c>
      <c r="BB199" s="58" t="str">
        <f t="shared" si="196"/>
        <v>-1,01655604831211+0,3464779852622i</v>
      </c>
      <c r="BC199">
        <f t="shared" si="197"/>
        <v>0.61992445430583509</v>
      </c>
      <c r="BD199" s="60">
        <f t="shared" si="198"/>
        <v>161.17908789259914</v>
      </c>
      <c r="BE199" s="58" t="str">
        <f t="shared" si="199"/>
        <v>0,172813245990363+3,3013849380146i</v>
      </c>
      <c r="BF199" s="37">
        <f t="shared" si="200"/>
        <v>10.385807012228646</v>
      </c>
      <c r="BG199" s="60">
        <f t="shared" si="201"/>
        <v>87.003548180769243</v>
      </c>
      <c r="BH199" s="58" t="str">
        <f t="shared" si="202"/>
        <v>-1,9939408287979+9,23829445856464i</v>
      </c>
      <c r="BI199" s="37">
        <f t="shared" si="203"/>
        <v>19.509578773323202</v>
      </c>
      <c r="BJ199" s="60">
        <f t="shared" si="204"/>
        <v>102.17956225010484</v>
      </c>
      <c r="BK199">
        <f t="shared" si="205"/>
        <v>10.385807012228646</v>
      </c>
      <c r="BL199" s="60">
        <f t="shared" si="206"/>
        <v>87.003548180769243</v>
      </c>
      <c r="BN199">
        <f t="shared" si="207"/>
        <v>0</v>
      </c>
      <c r="BO199">
        <f t="shared" si="208"/>
        <v>0</v>
      </c>
    </row>
    <row r="200" spans="13:67" x14ac:dyDescent="0.25">
      <c r="M200" s="66">
        <v>82</v>
      </c>
      <c r="N200" s="36">
        <f t="shared" si="209"/>
        <v>660.69344800759643</v>
      </c>
      <c r="O200" s="91" t="str">
        <f t="shared" si="157"/>
        <v>13,7404580152672</v>
      </c>
      <c r="P200" s="67" t="str">
        <f t="shared" si="158"/>
        <v>1+4,48336011427684i</v>
      </c>
      <c r="Q200" s="67">
        <f t="shared" si="169"/>
        <v>4.5935300058112647</v>
      </c>
      <c r="R200" s="67">
        <f t="shared" si="170"/>
        <v>1.3513415586024073</v>
      </c>
      <c r="S200" s="67" t="str">
        <f t="shared" si="159"/>
        <v>1+0,124537780952135i</v>
      </c>
      <c r="T200" s="67">
        <f t="shared" si="171"/>
        <v>1.0077249916939055</v>
      </c>
      <c r="U200" s="67">
        <f t="shared" si="172"/>
        <v>0.12389986070071501</v>
      </c>
      <c r="V200" t="str">
        <f t="shared" si="160"/>
        <v>1-0,0259453710316947i</v>
      </c>
      <c r="W200" s="67">
        <f t="shared" si="173"/>
        <v>1.0003365245146116</v>
      </c>
      <c r="X200" s="67">
        <f t="shared" si="174"/>
        <v>-2.5939551566958239E-2</v>
      </c>
      <c r="Y200" t="str">
        <f t="shared" si="161"/>
        <v>0,999972062986737+0,0450195099591176i</v>
      </c>
      <c r="Z200" s="67">
        <f t="shared" si="175"/>
        <v>1.0009849564458548</v>
      </c>
      <c r="AA200" s="67">
        <f t="shared" si="176"/>
        <v>4.4990387568282733E-2</v>
      </c>
      <c r="AB200" s="92" t="str">
        <f t="shared" si="177"/>
        <v>0,810543809672435-2,90132416074923i</v>
      </c>
      <c r="AC200" s="37">
        <f t="shared" si="178"/>
        <v>9.5783051321831785</v>
      </c>
      <c r="AD200" s="60">
        <f t="shared" si="179"/>
        <v>-74.391215041707895</v>
      </c>
      <c r="AE200" t="str">
        <f t="shared" si="180"/>
        <v>21,0353732052265</v>
      </c>
      <c r="AF200" t="str">
        <f t="shared" si="162"/>
        <v>1+2,24168005713842i</v>
      </c>
      <c r="AG200">
        <f t="shared" si="181"/>
        <v>2.454613916397467</v>
      </c>
      <c r="AH200">
        <f t="shared" si="182"/>
        <v>1.1511953856532009</v>
      </c>
      <c r="AI200" t="str">
        <f t="shared" si="163"/>
        <v>1+0,124537780952135i</v>
      </c>
      <c r="AJ200">
        <f t="shared" si="183"/>
        <v>1.0077249916939055</v>
      </c>
      <c r="AK200">
        <f t="shared" si="184"/>
        <v>0.12389986070071501</v>
      </c>
      <c r="AL200" t="str">
        <f t="shared" si="164"/>
        <v>1-0,00847372269531198i</v>
      </c>
      <c r="AM200">
        <f t="shared" si="185"/>
        <v>1.0000359013437052</v>
      </c>
      <c r="AN200">
        <f t="shared" si="186"/>
        <v>-8.4735198883880702E-3</v>
      </c>
      <c r="AO200" s="58" t="str">
        <f t="shared" si="187"/>
        <v>4,40331173404522-7,42936531842733i</v>
      </c>
      <c r="AP200">
        <f t="shared" si="188"/>
        <v>18.7264930038316</v>
      </c>
      <c r="AQ200" s="60">
        <f t="shared" si="189"/>
        <v>-59.345194819678547</v>
      </c>
      <c r="AR200" t="str">
        <f t="shared" si="165"/>
        <v>-1,05811623246493</v>
      </c>
      <c r="AS200" t="str">
        <f t="shared" si="166"/>
        <v>1+0,122744436906424i</v>
      </c>
      <c r="AT200">
        <f t="shared" si="190"/>
        <v>1.0075049363608475</v>
      </c>
      <c r="AU200">
        <f t="shared" si="191"/>
        <v>0.12213351937838234</v>
      </c>
      <c r="AV200" t="str">
        <f t="shared" si="167"/>
        <v>1+0,122744436906424i</v>
      </c>
      <c r="AW200">
        <f t="shared" si="192"/>
        <v>1.0075049363608475</v>
      </c>
      <c r="AX200">
        <f t="shared" si="193"/>
        <v>0.12213351937838234</v>
      </c>
      <c r="AY200" t="str">
        <f t="shared" si="168"/>
        <v>1-0,207378404236366i</v>
      </c>
      <c r="AZ200">
        <f t="shared" si="194"/>
        <v>1.0212765553676544</v>
      </c>
      <c r="BA200">
        <f t="shared" si="195"/>
        <v>-0.20448000832274218</v>
      </c>
      <c r="BB200" s="58" t="str">
        <f t="shared" si="196"/>
        <v>-1,01587696249656+0,344123701513022i</v>
      </c>
      <c r="BC200">
        <f t="shared" si="197"/>
        <v>0.60859112993897369</v>
      </c>
      <c r="BD200" s="60">
        <f t="shared" si="198"/>
        <v>161.28642333084633</v>
      </c>
      <c r="BE200" s="58" t="str">
        <f t="shared" si="199"/>
        <v>0,175001626145764+3,22631571166275i</v>
      </c>
      <c r="BF200" s="37">
        <f t="shared" si="200"/>
        <v>10.18689626212214</v>
      </c>
      <c r="BG200" s="60">
        <f t="shared" si="201"/>
        <v>86.895208289138452</v>
      </c>
      <c r="BH200" s="58" t="str">
        <f t="shared" si="202"/>
        <v>-1,91660225603763+9,06260500579661i</v>
      </c>
      <c r="BI200" s="37">
        <f t="shared" si="203"/>
        <v>19.335084133770575</v>
      </c>
      <c r="BJ200" s="60">
        <f t="shared" si="204"/>
        <v>101.94122851116778</v>
      </c>
      <c r="BK200">
        <f t="shared" si="205"/>
        <v>10.18689626212214</v>
      </c>
      <c r="BL200" s="60">
        <f t="shared" si="206"/>
        <v>86.895208289138452</v>
      </c>
      <c r="BN200">
        <f t="shared" si="207"/>
        <v>0</v>
      </c>
      <c r="BO200">
        <f t="shared" si="208"/>
        <v>0</v>
      </c>
    </row>
    <row r="201" spans="13:67" x14ac:dyDescent="0.25">
      <c r="M201" s="66">
        <v>83</v>
      </c>
      <c r="N201" s="36">
        <f t="shared" si="209"/>
        <v>676.08297539198213</v>
      </c>
      <c r="O201" s="91" t="str">
        <f t="shared" si="157"/>
        <v>13,7404580152672</v>
      </c>
      <c r="P201" s="67" t="str">
        <f t="shared" si="158"/>
        <v>1+4,58779098681053i</v>
      </c>
      <c r="Q201" s="67">
        <f t="shared" si="169"/>
        <v>4.6955112755332546</v>
      </c>
      <c r="R201" s="67">
        <f t="shared" si="170"/>
        <v>1.3561832951886237</v>
      </c>
      <c r="S201" s="67" t="str">
        <f t="shared" si="159"/>
        <v>1+0,127438638522515i</v>
      </c>
      <c r="T201" s="67">
        <f t="shared" si="171"/>
        <v>1.0080875986681277</v>
      </c>
      <c r="U201" s="67">
        <f t="shared" si="172"/>
        <v>0.12675539048673057</v>
      </c>
      <c r="V201" t="str">
        <f t="shared" si="160"/>
        <v>1-0,0265497163588573i</v>
      </c>
      <c r="W201" s="67">
        <f t="shared" si="173"/>
        <v>1.0003523816329603</v>
      </c>
      <c r="X201" s="67">
        <f t="shared" si="174"/>
        <v>-2.6543480808673737E-2</v>
      </c>
      <c r="Y201" t="str">
        <f t="shared" si="161"/>
        <v>0,999970746355865+0,0460681490570787i</v>
      </c>
      <c r="Z201" s="67">
        <f t="shared" si="175"/>
        <v>1.0010313521189289</v>
      </c>
      <c r="AA201" s="67">
        <f t="shared" si="176"/>
        <v>4.6036945588875076E-2</v>
      </c>
      <c r="AB201" s="92" t="str">
        <f t="shared" si="177"/>
        <v>0,78287014316492-2,84211119297977i</v>
      </c>
      <c r="AC201" s="37">
        <f t="shared" si="178"/>
        <v>9.3904384910543772</v>
      </c>
      <c r="AD201" s="60">
        <f t="shared" si="179"/>
        <v>-74.599582262869916</v>
      </c>
      <c r="AE201" t="str">
        <f t="shared" si="180"/>
        <v>21,0353732052265</v>
      </c>
      <c r="AF201" t="str">
        <f t="shared" si="162"/>
        <v>1+2,29389549340527i</v>
      </c>
      <c r="AG201">
        <f t="shared" si="181"/>
        <v>2.5023901643558717</v>
      </c>
      <c r="AH201">
        <f t="shared" si="182"/>
        <v>1.159696305575908</v>
      </c>
      <c r="AI201" t="str">
        <f t="shared" si="163"/>
        <v>1+0,127438638522515i</v>
      </c>
      <c r="AJ201">
        <f t="shared" si="183"/>
        <v>1.0080875986681277</v>
      </c>
      <c r="AK201">
        <f t="shared" si="184"/>
        <v>0.12675539048673057</v>
      </c>
      <c r="AL201" t="str">
        <f t="shared" si="164"/>
        <v>1-0,00867110105264314i</v>
      </c>
      <c r="AM201">
        <f t="shared" si="185"/>
        <v>1.0000375932901049</v>
      </c>
      <c r="AN201">
        <f t="shared" si="186"/>
        <v>-8.6708837415501398E-3</v>
      </c>
      <c r="AO201" s="58" t="str">
        <f t="shared" si="187"/>
        <v>4,27813601557913-7,31527745096725i</v>
      </c>
      <c r="AP201">
        <f t="shared" si="188"/>
        <v>18.56219591202348</v>
      </c>
      <c r="AQ201" s="60">
        <f t="shared" si="189"/>
        <v>-59.679959964030381</v>
      </c>
      <c r="AR201" t="str">
        <f t="shared" si="165"/>
        <v>-1,05811623246493</v>
      </c>
      <c r="AS201" t="str">
        <f t="shared" si="166"/>
        <v>1+0,125603522127791i</v>
      </c>
      <c r="AT201">
        <f t="shared" si="190"/>
        <v>1.0078572541639548</v>
      </c>
      <c r="AU201">
        <f t="shared" si="191"/>
        <v>0.12494918751236199</v>
      </c>
      <c r="AV201" t="str">
        <f t="shared" si="167"/>
        <v>1+0,125603522127791i</v>
      </c>
      <c r="AW201">
        <f t="shared" si="192"/>
        <v>1.0078572541639548</v>
      </c>
      <c r="AX201">
        <f t="shared" si="193"/>
        <v>0.12494918751236199</v>
      </c>
      <c r="AY201" t="str">
        <f t="shared" si="168"/>
        <v>1-0,202657895442197i</v>
      </c>
      <c r="AZ201">
        <f t="shared" si="194"/>
        <v>1.0203284875887082</v>
      </c>
      <c r="BA201">
        <f t="shared" si="195"/>
        <v>-0.19994991736763015</v>
      </c>
      <c r="BB201" s="58" t="str">
        <f t="shared" si="196"/>
        <v>-1,01516684411342+0,341944139972568i</v>
      </c>
      <c r="BC201">
        <f t="shared" si="197"/>
        <v>0.5974872640441582</v>
      </c>
      <c r="BD201" s="60">
        <f t="shared" si="198"/>
        <v>161.38465252279823</v>
      </c>
      <c r="BE201" s="58" t="str">
        <f t="shared" si="199"/>
        <v>0,177099455002524+3,15291490821143i</v>
      </c>
      <c r="BF201" s="37">
        <f t="shared" si="200"/>
        <v>9.9879257550985372</v>
      </c>
      <c r="BG201" s="60">
        <f t="shared" si="201"/>
        <v>86.785070259928318</v>
      </c>
      <c r="BH201" s="58" t="str">
        <f t="shared" si="202"/>
        <v>-1,84160558099171+8,88911066424536i</v>
      </c>
      <c r="BI201" s="37">
        <f t="shared" si="203"/>
        <v>19.159683176067638</v>
      </c>
      <c r="BJ201" s="60">
        <f t="shared" si="204"/>
        <v>101.70469255876786</v>
      </c>
      <c r="BK201">
        <f t="shared" si="205"/>
        <v>9.9879257550985372</v>
      </c>
      <c r="BL201" s="60">
        <f t="shared" si="206"/>
        <v>86.785070259928318</v>
      </c>
      <c r="BN201">
        <f t="shared" si="207"/>
        <v>0</v>
      </c>
      <c r="BO201">
        <f t="shared" si="208"/>
        <v>0</v>
      </c>
    </row>
    <row r="202" spans="13:67" x14ac:dyDescent="0.25">
      <c r="M202" s="66">
        <v>84</v>
      </c>
      <c r="N202" s="36">
        <f t="shared" si="209"/>
        <v>691.83097091893671</v>
      </c>
      <c r="O202" s="91" t="str">
        <f t="shared" si="157"/>
        <v>13,7404580152672</v>
      </c>
      <c r="P202" s="67" t="str">
        <f t="shared" si="158"/>
        <v>1+4,69465436685202i</v>
      </c>
      <c r="Q202" s="67">
        <f t="shared" si="169"/>
        <v>4.7999770441328922</v>
      </c>
      <c r="R202" s="67">
        <f t="shared" si="170"/>
        <v>1.3609247158263242</v>
      </c>
      <c r="S202" s="67" t="str">
        <f t="shared" si="159"/>
        <v>1+0,13040706574589i</v>
      </c>
      <c r="T202" s="67">
        <f t="shared" si="171"/>
        <v>1.0084671550409825</v>
      </c>
      <c r="U202" s="67">
        <f t="shared" si="172"/>
        <v>0.12967528386122532</v>
      </c>
      <c r="V202" t="str">
        <f t="shared" si="160"/>
        <v>1-0,0271681386970603i</v>
      </c>
      <c r="W202" s="67">
        <f t="shared" si="173"/>
        <v>1.0003689858048692</v>
      </c>
      <c r="X202" s="67">
        <f t="shared" si="174"/>
        <v>-2.7161457317756141E-2</v>
      </c>
      <c r="Y202" t="str">
        <f t="shared" si="161"/>
        <v>0,999969367674091+0,0471412140974538i</v>
      </c>
      <c r="Z202" s="67">
        <f t="shared" si="175"/>
        <v>1.0010799320499353</v>
      </c>
      <c r="AA202" s="67">
        <f t="shared" si="176"/>
        <v>4.7107780926208431E-2</v>
      </c>
      <c r="AB202" s="92" t="str">
        <f t="shared" si="177"/>
        <v>0,756328087068069-2,78388614227877i</v>
      </c>
      <c r="AC202" s="37">
        <f t="shared" si="178"/>
        <v>9.2023054143098868</v>
      </c>
      <c r="AD202" s="60">
        <f t="shared" si="179"/>
        <v>-74.800709878510943</v>
      </c>
      <c r="AE202" t="str">
        <f t="shared" si="180"/>
        <v>21,0353732052265</v>
      </c>
      <c r="AF202" t="str">
        <f t="shared" si="162"/>
        <v>1+2,34732718342601i</v>
      </c>
      <c r="AG202">
        <f t="shared" si="181"/>
        <v>2.5514593679011792</v>
      </c>
      <c r="AH202">
        <f t="shared" si="182"/>
        <v>1.168065049891535</v>
      </c>
      <c r="AI202" t="str">
        <f t="shared" si="163"/>
        <v>1+0,13040706574589i</v>
      </c>
      <c r="AJ202">
        <f t="shared" si="183"/>
        <v>1.0084671550409825</v>
      </c>
      <c r="AK202">
        <f t="shared" si="184"/>
        <v>0.12967528386122532</v>
      </c>
      <c r="AL202" t="str">
        <f t="shared" si="164"/>
        <v>1-0,00887307694252799i</v>
      </c>
      <c r="AM202">
        <f t="shared" si="185"/>
        <v>1.0000393649724135</v>
      </c>
      <c r="AN202">
        <f t="shared" si="186"/>
        <v>-8.8728440899916352E-3</v>
      </c>
      <c r="AO202" s="58" t="str">
        <f t="shared" si="187"/>
        <v>4,15682250686441-7,20090965544134i</v>
      </c>
      <c r="AP202">
        <f t="shared" si="188"/>
        <v>18.396808376637324</v>
      </c>
      <c r="AQ202" s="60">
        <f t="shared" si="189"/>
        <v>-60.003727601747883</v>
      </c>
      <c r="AR202" t="str">
        <f t="shared" si="165"/>
        <v>-1,05811623246493</v>
      </c>
      <c r="AS202" t="str">
        <f t="shared" si="166"/>
        <v>1+0,128529203999149i</v>
      </c>
      <c r="AT202">
        <f t="shared" si="190"/>
        <v>1.0082260442384212</v>
      </c>
      <c r="AU202">
        <f t="shared" si="191"/>
        <v>0.12782838041323674</v>
      </c>
      <c r="AV202" t="str">
        <f t="shared" si="167"/>
        <v>1+0,128529203999149i</v>
      </c>
      <c r="AW202">
        <f t="shared" si="192"/>
        <v>1.0082260442384212</v>
      </c>
      <c r="AX202">
        <f t="shared" si="193"/>
        <v>0.12782838041323674</v>
      </c>
      <c r="AY202" t="str">
        <f t="shared" si="168"/>
        <v>1-0,198044838546686i</v>
      </c>
      <c r="AZ202">
        <f t="shared" si="194"/>
        <v>1.0194222668134059</v>
      </c>
      <c r="BA202">
        <f t="shared" si="195"/>
        <v>-0.19551489201325778</v>
      </c>
      <c r="BB202" s="58" t="str">
        <f t="shared" si="196"/>
        <v>-1,01442432216217+0,339937609067025i</v>
      </c>
      <c r="BC202">
        <f t="shared" si="197"/>
        <v>0.58659161095214918</v>
      </c>
      <c r="BD202" s="60">
        <f t="shared" si="198"/>
        <v>161.47379515601304</v>
      </c>
      <c r="BE202" s="58" t="str">
        <f t="shared" si="199"/>
        <v>0,179109992064832+3,08114617444596i</v>
      </c>
      <c r="BF202" s="37">
        <f t="shared" si="200"/>
        <v>9.7888970252620471</v>
      </c>
      <c r="BG202" s="60">
        <f t="shared" si="201"/>
        <v>86.673085277502111</v>
      </c>
      <c r="BH202" s="58" t="str">
        <f t="shared" si="202"/>
        <v>-1,768921842496+8,71783820047159i</v>
      </c>
      <c r="BI202" s="37">
        <f t="shared" si="203"/>
        <v>18.983399987589475</v>
      </c>
      <c r="BJ202" s="60">
        <f t="shared" si="204"/>
        <v>101.47006755426516</v>
      </c>
      <c r="BK202">
        <f t="shared" si="205"/>
        <v>9.7888970252620471</v>
      </c>
      <c r="BL202" s="60">
        <f t="shared" si="206"/>
        <v>86.673085277502111</v>
      </c>
      <c r="BN202">
        <f t="shared" si="207"/>
        <v>0</v>
      </c>
      <c r="BO202">
        <f t="shared" si="208"/>
        <v>0</v>
      </c>
    </row>
    <row r="203" spans="13:67" x14ac:dyDescent="0.25">
      <c r="M203" s="66">
        <v>85</v>
      </c>
      <c r="N203" s="36">
        <f t="shared" si="209"/>
        <v>707.94578438413873</v>
      </c>
      <c r="O203" s="91" t="str">
        <f t="shared" si="157"/>
        <v>13,7404580152672</v>
      </c>
      <c r="P203" s="67" t="str">
        <f t="shared" si="158"/>
        <v>1+4,80400691477992i</v>
      </c>
      <c r="Q203" s="67">
        <f t="shared" si="169"/>
        <v>4.9069830280176516</v>
      </c>
      <c r="R203" s="67">
        <f t="shared" si="170"/>
        <v>1.3655674813478609</v>
      </c>
      <c r="S203" s="67" t="str">
        <f t="shared" si="159"/>
        <v>1+0,133444636521665i</v>
      </c>
      <c r="T203" s="67">
        <f t="shared" si="171"/>
        <v>1.0088644463040608</v>
      </c>
      <c r="U203" s="67">
        <f t="shared" si="172"/>
        <v>0.13266088972951184</v>
      </c>
      <c r="V203" t="str">
        <f t="shared" si="160"/>
        <v>1-0,0278009659420134i</v>
      </c>
      <c r="W203" s="67">
        <f t="shared" si="173"/>
        <v>1.0003863722119115</v>
      </c>
      <c r="X203" s="67">
        <f t="shared" si="174"/>
        <v>-2.7793806864432641E-2</v>
      </c>
      <c r="Y203" t="str">
        <f t="shared" si="161"/>
        <v>0,999967924017048+0,0482392740335313i</v>
      </c>
      <c r="Z203" s="67">
        <f t="shared" si="175"/>
        <v>1.0011307989579818</v>
      </c>
      <c r="AA203" s="67">
        <f t="shared" si="176"/>
        <v>4.8203451929731238E-2</v>
      </c>
      <c r="AB203" s="92" t="str">
        <f t="shared" si="177"/>
        <v>0,730875656096596-2,72664977738102i</v>
      </c>
      <c r="AC203" s="37">
        <f t="shared" si="178"/>
        <v>9.0139283079918826</v>
      </c>
      <c r="AD203" s="60">
        <f t="shared" si="179"/>
        <v>-74.994666417059804</v>
      </c>
      <c r="AE203" t="str">
        <f t="shared" si="180"/>
        <v>21,0353732052265</v>
      </c>
      <c r="AF203" t="str">
        <f t="shared" si="162"/>
        <v>1+2,40200345738996i</v>
      </c>
      <c r="AG203">
        <f t="shared" si="181"/>
        <v>2.6018494593871724</v>
      </c>
      <c r="AH203">
        <f t="shared" si="182"/>
        <v>1.1763013658690735</v>
      </c>
      <c r="AI203" t="str">
        <f t="shared" si="163"/>
        <v>1+0,133444636521665i</v>
      </c>
      <c r="AJ203">
        <f t="shared" si="183"/>
        <v>1.0088644463040608</v>
      </c>
      <c r="AK203">
        <f t="shared" si="184"/>
        <v>0.13266088972951184</v>
      </c>
      <c r="AL203" t="str">
        <f t="shared" si="164"/>
        <v>1-0,00907975745525685i</v>
      </c>
      <c r="AM203">
        <f t="shared" si="185"/>
        <v>1.000041220148173</v>
      </c>
      <c r="AN203">
        <f t="shared" si="186"/>
        <v>-9.07950794982431E-3</v>
      </c>
      <c r="AO203" s="58" t="str">
        <f t="shared" si="187"/>
        <v>4,03931790305795-7,0863939238576i</v>
      </c>
      <c r="AP203">
        <f t="shared" si="188"/>
        <v>18.230375500506803</v>
      </c>
      <c r="AQ203" s="60">
        <f t="shared" si="189"/>
        <v>-60.316412097400978</v>
      </c>
      <c r="AR203" t="str">
        <f t="shared" si="165"/>
        <v>-1,05811623246493</v>
      </c>
      <c r="AS203" t="str">
        <f t="shared" si="166"/>
        <v>1+0,131523033755753i</v>
      </c>
      <c r="AT203">
        <f t="shared" si="190"/>
        <v>1.0086120703265042</v>
      </c>
      <c r="AU203">
        <f t="shared" si="191"/>
        <v>0.13077243362306326</v>
      </c>
      <c r="AV203" t="str">
        <f t="shared" si="167"/>
        <v>1+0,131523033755753i</v>
      </c>
      <c r="AW203">
        <f t="shared" si="192"/>
        <v>1.0086120703265042</v>
      </c>
      <c r="AX203">
        <f t="shared" si="193"/>
        <v>0.13077243362306326</v>
      </c>
      <c r="AY203" t="str">
        <f t="shared" si="168"/>
        <v>1-0,193536787646005i</v>
      </c>
      <c r="AZ203">
        <f t="shared" si="194"/>
        <v>1.0185560800330706</v>
      </c>
      <c r="BA203">
        <f t="shared" si="195"/>
        <v>-0.19117327895878883</v>
      </c>
      <c r="BB203" s="58" t="str">
        <f t="shared" si="196"/>
        <v>-1,01364796953498+0,338102472700956i</v>
      </c>
      <c r="BC203">
        <f t="shared" si="197"/>
        <v>0.57588322557036098</v>
      </c>
      <c r="BD203" s="60">
        <f t="shared" si="198"/>
        <v>161.55386943672804</v>
      </c>
      <c r="BE203" s="58" t="str">
        <f t="shared" si="199"/>
        <v>0,181036407137173+3,01097387703847i</v>
      </c>
      <c r="BF203" s="37">
        <f t="shared" si="200"/>
        <v>9.589811533562246</v>
      </c>
      <c r="BG203" s="60">
        <f t="shared" si="201"/>
        <v>86.559203019668232</v>
      </c>
      <c r="BH203" s="58" t="str">
        <f t="shared" si="202"/>
        <v>-1,6985190825517+8,54881218329241i</v>
      </c>
      <c r="BI203" s="37">
        <f t="shared" si="203"/>
        <v>18.806258726077164</v>
      </c>
      <c r="BJ203" s="60">
        <f t="shared" si="204"/>
        <v>101.23745733932707</v>
      </c>
      <c r="BK203">
        <f t="shared" si="205"/>
        <v>9.589811533562246</v>
      </c>
      <c r="BL203" s="60">
        <f t="shared" si="206"/>
        <v>86.559203019668232</v>
      </c>
      <c r="BN203">
        <f t="shared" si="207"/>
        <v>0</v>
      </c>
      <c r="BO203">
        <f t="shared" si="208"/>
        <v>0</v>
      </c>
    </row>
    <row r="204" spans="13:67" x14ac:dyDescent="0.25">
      <c r="M204" s="66">
        <v>86</v>
      </c>
      <c r="N204" s="36">
        <f t="shared" si="209"/>
        <v>724.43596007499025</v>
      </c>
      <c r="O204" s="91" t="str">
        <f t="shared" si="157"/>
        <v>13,7404580152672</v>
      </c>
      <c r="P204" s="67" t="str">
        <f t="shared" si="158"/>
        <v>1+4,91590661076258i</v>
      </c>
      <c r="Q204" s="67">
        <f t="shared" si="169"/>
        <v>5.0165862701382142</v>
      </c>
      <c r="R204" s="67">
        <f t="shared" si="170"/>
        <v>1.3701132524267954</v>
      </c>
      <c r="S204" s="67" t="str">
        <f t="shared" si="159"/>
        <v>1+0,136552961410072i</v>
      </c>
      <c r="T204" s="67">
        <f t="shared" si="171"/>
        <v>1.0092802937092651</v>
      </c>
      <c r="U204" s="67">
        <f t="shared" si="172"/>
        <v>0.13571357808076159</v>
      </c>
      <c r="V204" t="str">
        <f t="shared" si="160"/>
        <v>1-0,0284485336270982i</v>
      </c>
      <c r="W204" s="67">
        <f t="shared" si="173"/>
        <v>1.0004045776912118</v>
      </c>
      <c r="X204" s="67">
        <f t="shared" si="174"/>
        <v>-2.8440862704804396E-2</v>
      </c>
      <c r="Y204" t="str">
        <f t="shared" si="161"/>
        <v>0,999966412322544+0,0493629110712235i</v>
      </c>
      <c r="Z204" s="67">
        <f t="shared" si="175"/>
        <v>1.0011840603818289</v>
      </c>
      <c r="AA204" s="67">
        <f t="shared" si="176"/>
        <v>4.9324529446272546E-2</v>
      </c>
      <c r="AB204" s="92" t="str">
        <f t="shared" si="177"/>
        <v>0,706472021835551-2,67040158049003i</v>
      </c>
      <c r="AC204" s="37">
        <f t="shared" si="178"/>
        <v>8.8253292315665721</v>
      </c>
      <c r="AD204" s="60">
        <f t="shared" si="179"/>
        <v>-75.181520334787436</v>
      </c>
      <c r="AE204" t="str">
        <f t="shared" si="180"/>
        <v>21,0353732052265</v>
      </c>
      <c r="AF204" t="str">
        <f t="shared" si="162"/>
        <v>1+2,45795330538129i</v>
      </c>
      <c r="AG204">
        <f t="shared" si="181"/>
        <v>2.6535889756016866</v>
      </c>
      <c r="AH204">
        <f t="shared" si="182"/>
        <v>1.1844051496520771</v>
      </c>
      <c r="AI204" t="str">
        <f t="shared" si="163"/>
        <v>1+0,136552961410072i</v>
      </c>
      <c r="AJ204">
        <f t="shared" si="183"/>
        <v>1.0092802937092651</v>
      </c>
      <c r="AK204">
        <f t="shared" si="184"/>
        <v>0.13571357808076159</v>
      </c>
      <c r="AL204" t="str">
        <f t="shared" si="164"/>
        <v>1-0,00929125217557326i</v>
      </c>
      <c r="AM204">
        <f t="shared" si="185"/>
        <v>1.0000431627519835</v>
      </c>
      <c r="AN204">
        <f t="shared" si="186"/>
        <v>-9.2909848263087388E-3</v>
      </c>
      <c r="AO204" s="58" t="str">
        <f t="shared" si="187"/>
        <v>3,92556437184846-6,97185637478924i</v>
      </c>
      <c r="AP204">
        <f t="shared" si="188"/>
        <v>18.062942119844266</v>
      </c>
      <c r="AQ204" s="60">
        <f t="shared" si="189"/>
        <v>-60.61793528004543</v>
      </c>
      <c r="AR204" t="str">
        <f t="shared" si="165"/>
        <v>-1,05811623246493</v>
      </c>
      <c r="AS204" t="str">
        <f t="shared" si="166"/>
        <v>1+0,134586598765767i</v>
      </c>
      <c r="AT204">
        <f t="shared" si="190"/>
        <v>1.0090161309747914</v>
      </c>
      <c r="AU204">
        <f t="shared" si="191"/>
        <v>0.1337827038699422</v>
      </c>
      <c r="AV204" t="str">
        <f t="shared" si="167"/>
        <v>1+0,134586598765767i</v>
      </c>
      <c r="AW204">
        <f t="shared" si="192"/>
        <v>1.0090161309747914</v>
      </c>
      <c r="AX204">
        <f t="shared" si="193"/>
        <v>0.1337827038699422</v>
      </c>
      <c r="AY204" t="str">
        <f t="shared" si="168"/>
        <v>1-0,189131352511897i</v>
      </c>
      <c r="AZ204">
        <f t="shared" si="194"/>
        <v>1.0177281898930477</v>
      </c>
      <c r="BA204">
        <f t="shared" si="195"/>
        <v>-0.18692343123937841</v>
      </c>
      <c r="BB204" s="58" t="str">
        <f t="shared" si="196"/>
        <v>-1,01283630114653+0,336437147038697i</v>
      </c>
      <c r="BC204">
        <f t="shared" si="197"/>
        <v>0.56534143524335712</v>
      </c>
      <c r="BD204" s="60">
        <f t="shared" si="198"/>
        <v>161.62489199428353</v>
      </c>
      <c r="BE204" s="58" t="str">
        <f t="shared" si="199"/>
        <v>0,182881779728263+2,94236309084838i</v>
      </c>
      <c r="BF204" s="37">
        <f t="shared" si="200"/>
        <v>9.3906706668099247</v>
      </c>
      <c r="BG204" s="60">
        <f t="shared" si="201"/>
        <v>86.443371659496094</v>
      </c>
      <c r="BH204" s="58" t="str">
        <f t="shared" si="202"/>
        <v>-1,63036262999795+8,38205490054784i</v>
      </c>
      <c r="BI204" s="37">
        <f t="shared" si="203"/>
        <v>18.628283555087627</v>
      </c>
      <c r="BJ204" s="60">
        <f t="shared" si="204"/>
        <v>101.00695671423809</v>
      </c>
      <c r="BK204">
        <f t="shared" si="205"/>
        <v>9.3906706668099247</v>
      </c>
      <c r="BL204" s="60">
        <f t="shared" si="206"/>
        <v>86.443371659496094</v>
      </c>
      <c r="BN204">
        <f t="shared" si="207"/>
        <v>0</v>
      </c>
      <c r="BO204">
        <f t="shared" si="208"/>
        <v>0</v>
      </c>
    </row>
    <row r="205" spans="13:67" x14ac:dyDescent="0.25">
      <c r="M205" s="66">
        <v>87</v>
      </c>
      <c r="N205" s="36">
        <f t="shared" si="209"/>
        <v>741.31024130091828</v>
      </c>
      <c r="O205" s="91" t="str">
        <f t="shared" si="157"/>
        <v>13,7404580152672</v>
      </c>
      <c r="P205" s="67" t="str">
        <f t="shared" si="158"/>
        <v>1+5,03041278549997i</v>
      </c>
      <c r="Q205" s="67">
        <f t="shared" si="169"/>
        <v>5.1288451714320225</v>
      </c>
      <c r="R205" s="67">
        <f t="shared" si="170"/>
        <v>1.3745636874653373</v>
      </c>
      <c r="S205" s="67" t="str">
        <f t="shared" si="159"/>
        <v>1+0,139733688486111i</v>
      </c>
      <c r="T205" s="67">
        <f t="shared" si="171"/>
        <v>1.009715555836362</v>
      </c>
      <c r="U205" s="67">
        <f t="shared" si="172"/>
        <v>0.13883473978888275</v>
      </c>
      <c r="V205" t="str">
        <f t="shared" si="160"/>
        <v>1-0,029111185101273i</v>
      </c>
      <c r="W205" s="67">
        <f t="shared" si="173"/>
        <v>1.000423640813231</v>
      </c>
      <c r="X205" s="67">
        <f t="shared" si="174"/>
        <v>-2.9102965747921049E-2</v>
      </c>
      <c r="Y205" t="str">
        <f t="shared" si="161"/>
        <v>0,999964829384073+0,050512720977761i</v>
      </c>
      <c r="Z205" s="67">
        <f t="shared" si="175"/>
        <v>1.0012398289049911</v>
      </c>
      <c r="AA205" s="67">
        <f t="shared" si="176"/>
        <v>5.0471597075102799E-2</v>
      </c>
      <c r="AB205" s="92" t="str">
        <f t="shared" si="177"/>
        <v>0,683077515089888-2,61513983783743i</v>
      </c>
      <c r="AC205" s="37">
        <f t="shared" si="178"/>
        <v>8.6365299254609589</v>
      </c>
      <c r="AD205" s="60">
        <f t="shared" si="179"/>
        <v>-75.361339930361282</v>
      </c>
      <c r="AE205" t="str">
        <f t="shared" si="180"/>
        <v>21,0353732052265</v>
      </c>
      <c r="AF205" t="str">
        <f t="shared" si="162"/>
        <v>1+2,51520639274999i</v>
      </c>
      <c r="AG205">
        <f t="shared" si="181"/>
        <v>2.7067070765286769</v>
      </c>
      <c r="AH205">
        <f t="shared" si="182"/>
        <v>1.1923764394379188</v>
      </c>
      <c r="AI205" t="str">
        <f t="shared" si="163"/>
        <v>1+0,139733688486111i</v>
      </c>
      <c r="AJ205">
        <f t="shared" si="183"/>
        <v>1.009715555836362</v>
      </c>
      <c r="AK205">
        <f t="shared" si="184"/>
        <v>0.13883473978888275</v>
      </c>
      <c r="AL205" t="str">
        <f t="shared" si="164"/>
        <v>1-0,00950767324077742i</v>
      </c>
      <c r="AM205">
        <f t="shared" si="185"/>
        <v>1.0000451969038466</v>
      </c>
      <c r="AN205">
        <f t="shared" si="186"/>
        <v>-9.5073867715784917E-3</v>
      </c>
      <c r="AO205" s="58" t="str">
        <f t="shared" si="187"/>
        <v>3,81550001489888-6,85741719729624i</v>
      </c>
      <c r="AP205">
        <f t="shared" si="188"/>
        <v>17.894552772890606</v>
      </c>
      <c r="AQ205" s="60">
        <f t="shared" si="189"/>
        <v>-60.908226067139125</v>
      </c>
      <c r="AR205" t="str">
        <f t="shared" si="165"/>
        <v>-1,05811623246493</v>
      </c>
      <c r="AS205" t="str">
        <f t="shared" si="166"/>
        <v>1+0,13772152337191i</v>
      </c>
      <c r="AT205">
        <f t="shared" si="190"/>
        <v>1.0094390610630637</v>
      </c>
      <c r="AU205">
        <f t="shared" si="191"/>
        <v>0.13686056889755219</v>
      </c>
      <c r="AV205" t="str">
        <f t="shared" si="167"/>
        <v>1+0,13772152337191i</v>
      </c>
      <c r="AW205">
        <f t="shared" si="192"/>
        <v>1.0094390610630637</v>
      </c>
      <c r="AX205">
        <f t="shared" si="193"/>
        <v>0.13686056889755219</v>
      </c>
      <c r="AY205" t="str">
        <f t="shared" si="168"/>
        <v>1-0,18482619732434i</v>
      </c>
      <c r="AZ205">
        <f t="shared" si="194"/>
        <v>1.016936931779634</v>
      </c>
      <c r="BA205">
        <f t="shared" si="195"/>
        <v>-0.18276370988577847</v>
      </c>
      <c r="BB205" s="58" t="str">
        <f t="shared" si="196"/>
        <v>-1,01198777204389+0,33494009717328i</v>
      </c>
      <c r="BC205">
        <f t="shared" si="197"/>
        <v>0.55494581135164878</v>
      </c>
      <c r="BD205" s="60">
        <f t="shared" si="198"/>
        <v>161.68687779580233</v>
      </c>
      <c r="BE205" s="58" t="str">
        <f t="shared" si="199"/>
        <v>0,184649098777892+2,87527958735741i</v>
      </c>
      <c r="BF205" s="37">
        <f t="shared" si="200"/>
        <v>9.1914757368126097</v>
      </c>
      <c r="BG205" s="60">
        <f t="shared" si="201"/>
        <v>86.325537865441063</v>
      </c>
      <c r="BH205" s="58" t="str">
        <f t="shared" si="202"/>
        <v>-1,56441537689082+8,21758629722216i</v>
      </c>
      <c r="BI205" s="37">
        <f t="shared" si="203"/>
        <v>18.449498584242257</v>
      </c>
      <c r="BJ205" s="60">
        <f t="shared" si="204"/>
        <v>100.77865172866318</v>
      </c>
      <c r="BK205">
        <f t="shared" si="205"/>
        <v>9.1914757368126097</v>
      </c>
      <c r="BL205" s="60">
        <f t="shared" si="206"/>
        <v>86.325537865441063</v>
      </c>
      <c r="BN205">
        <f t="shared" si="207"/>
        <v>0</v>
      </c>
      <c r="BO205">
        <f t="shared" si="208"/>
        <v>0</v>
      </c>
    </row>
    <row r="206" spans="13:67" x14ac:dyDescent="0.25">
      <c r="M206" s="66">
        <v>88</v>
      </c>
      <c r="N206" s="36">
        <f t="shared" si="209"/>
        <v>758.57757502918378</v>
      </c>
      <c r="O206" s="91" t="str">
        <f t="shared" si="157"/>
        <v>13,7404580152672</v>
      </c>
      <c r="P206" s="67" t="str">
        <f t="shared" si="158"/>
        <v>1+5,14758615168163i</v>
      </c>
      <c r="Q206" s="67">
        <f t="shared" si="169"/>
        <v>5.2438195229226281</v>
      </c>
      <c r="R206" s="67">
        <f t="shared" si="170"/>
        <v>1.3789204406320446</v>
      </c>
      <c r="S206" s="67" t="str">
        <f t="shared" si="159"/>
        <v>1+0,142988504213379i</v>
      </c>
      <c r="T206" s="67">
        <f t="shared" si="171"/>
        <v>1.0101711302235772</v>
      </c>
      <c r="U206" s="67">
        <f t="shared" si="172"/>
        <v>0.14202578636511121</v>
      </c>
      <c r="V206" t="str">
        <f t="shared" si="160"/>
        <v>1-0,0297892717111206i</v>
      </c>
      <c r="W206" s="67">
        <f t="shared" si="173"/>
        <v>1.0004436019631886</v>
      </c>
      <c r="X206" s="67">
        <f t="shared" si="174"/>
        <v>-2.9780464726226901E-2</v>
      </c>
      <c r="Y206" t="str">
        <f t="shared" si="161"/>
        <v>0,99996317184401+0,0516893133975759i</v>
      </c>
      <c r="Z206" s="67">
        <f t="shared" si="175"/>
        <v>1.0012982223912343</v>
      </c>
      <c r="AA206" s="67">
        <f t="shared" si="176"/>
        <v>5.1645251426394402E-2</v>
      </c>
      <c r="AB206" s="92" t="str">
        <f t="shared" si="177"/>
        <v>0,660653624355941-2,56086172637653i</v>
      </c>
      <c r="AC206" s="37">
        <f t="shared" si="178"/>
        <v>8.4475518389214947</v>
      </c>
      <c r="AD206" s="60">
        <f t="shared" si="179"/>
        <v>-75.534193271163815</v>
      </c>
      <c r="AE206" t="str">
        <f t="shared" si="180"/>
        <v>21,0353732052265</v>
      </c>
      <c r="AF206" t="str">
        <f t="shared" si="162"/>
        <v>1+2,57379307584082i</v>
      </c>
      <c r="AG206">
        <f t="shared" si="181"/>
        <v>2.7612335644139465</v>
      </c>
      <c r="AH206">
        <f t="shared" si="182"/>
        <v>1.2002154086109662</v>
      </c>
      <c r="AI206" t="str">
        <f t="shared" si="163"/>
        <v>1+0,142988504213379i</v>
      </c>
      <c r="AJ206">
        <f t="shared" si="183"/>
        <v>1.0101711302235772</v>
      </c>
      <c r="AK206">
        <f t="shared" si="184"/>
        <v>0.14202578636511121</v>
      </c>
      <c r="AL206" t="str">
        <f t="shared" si="164"/>
        <v>1-0,00972913540018278i</v>
      </c>
      <c r="AM206">
        <f t="shared" si="185"/>
        <v>1.0000473269178991</v>
      </c>
      <c r="AN206">
        <f t="shared" si="186"/>
        <v>-9.7288284436903346E-3</v>
      </c>
      <c r="AO206" s="58" t="str">
        <f t="shared" si="187"/>
        <v>3,70905931506489-6,74319062691841i</v>
      </c>
      <c r="AP206">
        <f t="shared" si="188"/>
        <v>17.725251673497024</v>
      </c>
      <c r="AQ206" s="60">
        <f t="shared" si="189"/>
        <v>-61.187220088660695</v>
      </c>
      <c r="AR206" t="str">
        <f t="shared" si="165"/>
        <v>-1,05811623246493</v>
      </c>
      <c r="AS206" t="str">
        <f t="shared" si="166"/>
        <v>1+0,140929469752706i</v>
      </c>
      <c r="AT206">
        <f t="shared" si="190"/>
        <v>1.009881733394945</v>
      </c>
      <c r="AU206">
        <f t="shared" si="191"/>
        <v>0.14000742724856788</v>
      </c>
      <c r="AV206" t="str">
        <f t="shared" si="167"/>
        <v>1+0,140929469752706i</v>
      </c>
      <c r="AW206">
        <f t="shared" si="192"/>
        <v>1.009881733394945</v>
      </c>
      <c r="AX206">
        <f t="shared" si="193"/>
        <v>0.14000742724856788</v>
      </c>
      <c r="AY206" t="str">
        <f t="shared" si="168"/>
        <v>1-0,180619039433068i</v>
      </c>
      <c r="AZ206">
        <f t="shared" si="194"/>
        <v>1.0161807109986511</v>
      </c>
      <c r="BA206">
        <f t="shared" si="195"/>
        <v>-0.17869248545425856</v>
      </c>
      <c r="BB206" s="58" t="str">
        <f t="shared" si="196"/>
        <v>-1,01110077550093+0,333609833674249i</v>
      </c>
      <c r="BC206">
        <f t="shared" si="197"/>
        <v>0.54467614068626935</v>
      </c>
      <c r="BD206" s="60">
        <f t="shared" si="198"/>
        <v>161.73984007094026</v>
      </c>
      <c r="BE206" s="58" t="str">
        <f t="shared" si="199"/>
        <v>0,186341262675432+2,80968982322764i</v>
      </c>
      <c r="BF206" s="37">
        <f t="shared" si="200"/>
        <v>8.9922279796077778</v>
      </c>
      <c r="BG206" s="60">
        <f t="shared" si="201"/>
        <v>86.20564679977646</v>
      </c>
      <c r="BH206" s="58" t="str">
        <f t="shared" si="202"/>
        <v>-1,50063804636105+8,05542393341453i</v>
      </c>
      <c r="BI206" s="37">
        <f t="shared" si="203"/>
        <v>18.269927814183294</v>
      </c>
      <c r="BJ206" s="60">
        <f t="shared" si="204"/>
        <v>100.55261998227952</v>
      </c>
      <c r="BK206">
        <f t="shared" si="205"/>
        <v>8.9922279796077778</v>
      </c>
      <c r="BL206" s="60">
        <f t="shared" si="206"/>
        <v>86.20564679977646</v>
      </c>
      <c r="BN206">
        <f t="shared" si="207"/>
        <v>0</v>
      </c>
      <c r="BO206">
        <f t="shared" si="208"/>
        <v>0</v>
      </c>
    </row>
    <row r="207" spans="13:67" x14ac:dyDescent="0.25">
      <c r="M207" s="66">
        <v>89</v>
      </c>
      <c r="N207" s="36">
        <f t="shared" si="209"/>
        <v>776.24711662869231</v>
      </c>
      <c r="O207" s="91" t="str">
        <f t="shared" si="157"/>
        <v>13,7404580152672</v>
      </c>
      <c r="P207" s="67" t="str">
        <f t="shared" si="158"/>
        <v>1+5,26748883617727i</v>
      </c>
      <c r="Q207" s="67">
        <f t="shared" si="169"/>
        <v>5.3615705384944965</v>
      </c>
      <c r="R207" s="67">
        <f t="shared" si="170"/>
        <v>1.3831851600432314</v>
      </c>
      <c r="S207" s="67" t="str">
        <f t="shared" si="159"/>
        <v>1+0,146319134338258i</v>
      </c>
      <c r="T207" s="67">
        <f t="shared" si="171"/>
        <v>1.0106479550632343</v>
      </c>
      <c r="U207" s="67">
        <f t="shared" si="172"/>
        <v>0.14528814965872855</v>
      </c>
      <c r="V207" t="str">
        <f t="shared" si="160"/>
        <v>1-0,030483152987137i</v>
      </c>
      <c r="W207" s="67">
        <f t="shared" si="173"/>
        <v>1.000464503426302</v>
      </c>
      <c r="X207" s="67">
        <f t="shared" si="174"/>
        <v>-3.0473716369421776E-2</v>
      </c>
      <c r="Y207" t="str">
        <f t="shared" si="161"/>
        <v>0,999961436186491+0,0528933121755431i</v>
      </c>
      <c r="Z207" s="67">
        <f t="shared" si="175"/>
        <v>1.0013593642309684</v>
      </c>
      <c r="AA207" s="67">
        <f t="shared" si="176"/>
        <v>5.2846102382985136E-2</v>
      </c>
      <c r="AB207" s="92" t="str">
        <f t="shared" si="177"/>
        <v>0,639162990799666-2,50756339661886i</v>
      </c>
      <c r="AC207" s="37">
        <f t="shared" si="178"/>
        <v>8.2584161581408075</v>
      </c>
      <c r="AD207" s="60">
        <f t="shared" si="179"/>
        <v>-75.700148131202198</v>
      </c>
      <c r="AE207" t="str">
        <f t="shared" si="180"/>
        <v>21,0353732052265</v>
      </c>
      <c r="AF207" t="str">
        <f t="shared" si="162"/>
        <v>1+2,63374441808864i</v>
      </c>
      <c r="AG207">
        <f t="shared" si="181"/>
        <v>2.8171989031328741</v>
      </c>
      <c r="AH207">
        <f t="shared" si="182"/>
        <v>1.2079223588652546</v>
      </c>
      <c r="AI207" t="str">
        <f t="shared" si="163"/>
        <v>1+0,146319134338258i</v>
      </c>
      <c r="AJ207">
        <f t="shared" si="183"/>
        <v>1.0106479550632343</v>
      </c>
      <c r="AK207">
        <f t="shared" si="184"/>
        <v>0.14528814965872855</v>
      </c>
      <c r="AL207" t="str">
        <f t="shared" si="164"/>
        <v>1-0,00995575607595765i</v>
      </c>
      <c r="AM207">
        <f t="shared" si="185"/>
        <v>1.0000495573115584</v>
      </c>
      <c r="AN207">
        <f t="shared" si="186"/>
        <v>-9.9554271670304149E-3</v>
      </c>
      <c r="AO207" s="58" t="str">
        <f t="shared" si="187"/>
        <v>3,60617356765915-6,62928495120813i</v>
      </c>
      <c r="AP207">
        <f t="shared" si="188"/>
        <v>17.555082689488117</v>
      </c>
      <c r="AQ207" s="60">
        <f t="shared" si="189"/>
        <v>-61.454859313676465</v>
      </c>
      <c r="AR207" t="str">
        <f t="shared" si="165"/>
        <v>-1,05811623246493</v>
      </c>
      <c r="AS207" t="str">
        <f t="shared" si="166"/>
        <v>1+0,144212138803787i</v>
      </c>
      <c r="AT207">
        <f t="shared" si="190"/>
        <v>1.0103450603523347</v>
      </c>
      <c r="AU207">
        <f t="shared" si="191"/>
        <v>0.14322469799847704</v>
      </c>
      <c r="AV207" t="str">
        <f t="shared" si="167"/>
        <v>1+0,144212138803787i</v>
      </c>
      <c r="AW207">
        <f t="shared" si="192"/>
        <v>1.0103450603523347</v>
      </c>
      <c r="AX207">
        <f t="shared" si="193"/>
        <v>0.14322469799847704</v>
      </c>
      <c r="AY207" t="str">
        <f t="shared" si="168"/>
        <v>1-0,17650764814728i</v>
      </c>
      <c r="AZ207">
        <f t="shared" si="194"/>
        <v>1.0154580000445534</v>
      </c>
      <c r="BA207">
        <f t="shared" si="195"/>
        <v>-0.17470813943317229</v>
      </c>
      <c r="BB207" s="58" t="str">
        <f t="shared" si="196"/>
        <v>-1,01017364110282+0,332444909005491i</v>
      </c>
      <c r="BC207">
        <f t="shared" si="197"/>
        <v>0.5345123966362304</v>
      </c>
      <c r="BD207" s="60">
        <f t="shared" si="198"/>
        <v>161.78379024654765</v>
      </c>
      <c r="BE207" s="58" t="str">
        <f t="shared" si="199"/>
        <v>0,18796107954019+2,7455609289747i</v>
      </c>
      <c r="BF207" s="37">
        <f t="shared" si="200"/>
        <v>8.7929285547770384</v>
      </c>
      <c r="BG207" s="60">
        <f t="shared" si="201"/>
        <v>86.083642115345469</v>
      </c>
      <c r="BH207" s="58" t="str">
        <f t="shared" si="202"/>
        <v>-1,43898945091513+7,8955829606285i</v>
      </c>
      <c r="BI207" s="37">
        <f t="shared" si="203"/>
        <v>18.089595086124348</v>
      </c>
      <c r="BJ207" s="60">
        <f t="shared" si="204"/>
        <v>100.32893093287117</v>
      </c>
      <c r="BK207">
        <f t="shared" si="205"/>
        <v>8.7929285547770384</v>
      </c>
      <c r="BL207" s="60">
        <f t="shared" si="206"/>
        <v>86.083642115345469</v>
      </c>
      <c r="BN207">
        <f t="shared" si="207"/>
        <v>0</v>
      </c>
      <c r="BO207">
        <f t="shared" si="208"/>
        <v>0</v>
      </c>
    </row>
    <row r="208" spans="13:67" x14ac:dyDescent="0.25">
      <c r="M208" s="66">
        <v>90</v>
      </c>
      <c r="N208" s="36">
        <f t="shared" si="209"/>
        <v>794.32823472428208</v>
      </c>
      <c r="O208" s="91" t="str">
        <f t="shared" si="157"/>
        <v>13,7404580152672</v>
      </c>
      <c r="P208" s="67" t="str">
        <f t="shared" si="158"/>
        <v>1+5,39018441297731i</v>
      </c>
      <c r="Q208" s="67">
        <f t="shared" si="169"/>
        <v>5.4821608883635973</v>
      </c>
      <c r="R208" s="67">
        <f t="shared" si="170"/>
        <v>1.3873594860815734</v>
      </c>
      <c r="S208" s="67" t="str">
        <f t="shared" si="159"/>
        <v>1+0,149727344804925i</v>
      </c>
      <c r="T208" s="67">
        <f t="shared" si="171"/>
        <v>1.0111470109644458</v>
      </c>
      <c r="U208" s="67">
        <f t="shared" si="172"/>
        <v>0.14862328150211632</v>
      </c>
      <c r="V208" t="str">
        <f t="shared" si="160"/>
        <v>1-0,0311931968343594i</v>
      </c>
      <c r="W208" s="67">
        <f t="shared" si="173"/>
        <v>1.000486389477012</v>
      </c>
      <c r="X208" s="67">
        <f t="shared" si="174"/>
        <v>-3.1183085581776401E-2</v>
      </c>
      <c r="Y208" t="str">
        <f t="shared" si="161"/>
        <v>0,999959618729953+0,0541253556877516i</v>
      </c>
      <c r="Z208" s="67">
        <f t="shared" si="175"/>
        <v>1.0014233835990043</v>
      </c>
      <c r="AA208" s="67">
        <f t="shared" si="176"/>
        <v>5.4074773365333145E-2</v>
      </c>
      <c r="AB208" s="92" t="str">
        <f t="shared" si="177"/>
        <v>0,61856940010325-2,4552400516422i</v>
      </c>
      <c r="AC208" s="37">
        <f t="shared" si="178"/>
        <v>8.0691438346003217</v>
      </c>
      <c r="AD208" s="60">
        <f t="shared" si="179"/>
        <v>-75.859271940448082</v>
      </c>
      <c r="AE208" t="str">
        <f t="shared" si="180"/>
        <v>21,0353732052265</v>
      </c>
      <c r="AF208" t="str">
        <f t="shared" si="162"/>
        <v>1+2,69509220648866i</v>
      </c>
      <c r="AG208">
        <f t="shared" si="181"/>
        <v>2.8746342378598211</v>
      </c>
      <c r="AH208">
        <f t="shared" si="182"/>
        <v>1.2154977133492999</v>
      </c>
      <c r="AI208" t="str">
        <f t="shared" si="163"/>
        <v>1+0,149727344804925i</v>
      </c>
      <c r="AJ208">
        <f t="shared" si="183"/>
        <v>1.0111470109644458</v>
      </c>
      <c r="AK208">
        <f t="shared" si="184"/>
        <v>0.14862328150211632</v>
      </c>
      <c r="AL208" t="str">
        <f t="shared" si="164"/>
        <v>1-0,010187655425384i</v>
      </c>
      <c r="AM208">
        <f t="shared" si="185"/>
        <v>1.000051892815101</v>
      </c>
      <c r="AN208">
        <f t="shared" si="186"/>
        <v>-1.0187302994106497E-2</v>
      </c>
      <c r="AO208" s="58" t="str">
        <f t="shared" si="187"/>
        <v>3,50677129433536-6,51580254226134i</v>
      </c>
      <c r="AP208">
        <f t="shared" si="188"/>
        <v>17.384089325640517</v>
      </c>
      <c r="AQ208" s="60">
        <f t="shared" si="189"/>
        <v>-61.711091681444458</v>
      </c>
      <c r="AR208" t="str">
        <f t="shared" si="165"/>
        <v>-1,05811623246493</v>
      </c>
      <c r="AS208" t="str">
        <f t="shared" si="166"/>
        <v>1+0,147571271039734i</v>
      </c>
      <c r="AT208">
        <f t="shared" si="190"/>
        <v>1.0108299956156241</v>
      </c>
      <c r="AU208">
        <f t="shared" si="191"/>
        <v>0.14651382043615332</v>
      </c>
      <c r="AV208" t="str">
        <f t="shared" si="167"/>
        <v>1+0,147571271039734i</v>
      </c>
      <c r="AW208">
        <f t="shared" si="192"/>
        <v>1.0108299956156241</v>
      </c>
      <c r="AX208">
        <f t="shared" si="193"/>
        <v>0.14651382043615332</v>
      </c>
      <c r="AY208" t="str">
        <f t="shared" si="168"/>
        <v>1-0,172489843552894i</v>
      </c>
      <c r="AZ208">
        <f t="shared" si="194"/>
        <v>1.014767335958791</v>
      </c>
      <c r="BA208">
        <f t="shared" si="195"/>
        <v>-0.17080906553239089</v>
      </c>
      <c r="BB208" s="58" t="str">
        <f t="shared" si="196"/>
        <v>-1,00920463282648+0,331443913804045i</v>
      </c>
      <c r="BC208">
        <f t="shared" si="197"/>
        <v>0.52443471021968358</v>
      </c>
      <c r="BD208" s="60">
        <f t="shared" si="198"/>
        <v>161.8187378910913</v>
      </c>
      <c r="BE208" s="58" t="str">
        <f t="shared" si="199"/>
        <v>0,18951126773584+2,68286069774808i</v>
      </c>
      <c r="BF208" s="37">
        <f t="shared" si="200"/>
        <v>8.5935785448200193</v>
      </c>
      <c r="BG208" s="60">
        <f t="shared" si="201"/>
        <v>85.959465950643235</v>
      </c>
      <c r="BH208" s="58" t="str">
        <f t="shared" si="202"/>
        <v>-1,37942674032471+7,73807611484289i</v>
      </c>
      <c r="BI208" s="37">
        <f t="shared" si="203"/>
        <v>17.908524035860204</v>
      </c>
      <c r="BJ208" s="60">
        <f t="shared" si="204"/>
        <v>100.10764620964683</v>
      </c>
      <c r="BK208">
        <f t="shared" si="205"/>
        <v>8.5935785448200193</v>
      </c>
      <c r="BL208" s="60">
        <f t="shared" si="206"/>
        <v>85.959465950643235</v>
      </c>
      <c r="BN208">
        <f t="shared" si="207"/>
        <v>0</v>
      </c>
      <c r="BO208">
        <f t="shared" si="208"/>
        <v>0</v>
      </c>
    </row>
    <row r="209" spans="13:67" x14ac:dyDescent="0.25">
      <c r="M209" s="66">
        <v>91</v>
      </c>
      <c r="N209" s="36">
        <f t="shared" si="209"/>
        <v>812.83051616409978</v>
      </c>
      <c r="O209" s="91" t="str">
        <f t="shared" si="157"/>
        <v>13,7404580152672</v>
      </c>
      <c r="P209" s="67" t="str">
        <f t="shared" si="158"/>
        <v>1+5,51573793690063i</v>
      </c>
      <c r="Q209" s="67">
        <f t="shared" si="169"/>
        <v>5.6056547332639752</v>
      </c>
      <c r="R209" s="67">
        <f t="shared" si="170"/>
        <v>1.3914450498454478</v>
      </c>
      <c r="S209" s="67" t="str">
        <f t="shared" si="159"/>
        <v>1+0,153214942691684i</v>
      </c>
      <c r="T209" s="67">
        <f t="shared" si="171"/>
        <v>1.0116693227848792</v>
      </c>
      <c r="U209" s="67">
        <f t="shared" si="172"/>
        <v>0.15203265329618851</v>
      </c>
      <c r="V209" t="str">
        <f t="shared" si="160"/>
        <v>1-0,0319197797274342i</v>
      </c>
      <c r="W209" s="67">
        <f t="shared" si="173"/>
        <v>1.0005093064723825</v>
      </c>
      <c r="X209" s="67">
        <f t="shared" si="174"/>
        <v>-3.190894562294018E-2</v>
      </c>
      <c r="Y209" t="str">
        <f t="shared" si="161"/>
        <v>0,999957715619328+0,0553860971799794i</v>
      </c>
      <c r="Z209" s="67">
        <f t="shared" si="175"/>
        <v>1.0014904157242119</v>
      </c>
      <c r="AA209" s="67">
        <f t="shared" si="176"/>
        <v>5.5331901599533162E-2</v>
      </c>
      <c r="AB209" s="92" t="str">
        <f t="shared" si="177"/>
        <v>0,598837771519175-2,40388602231752i</v>
      </c>
      <c r="AC209" s="37">
        <f t="shared" si="178"/>
        <v>7.8797556135840319</v>
      </c>
      <c r="AD209" s="60">
        <f t="shared" si="179"/>
        <v>-76.011631745460647</v>
      </c>
      <c r="AE209" t="str">
        <f t="shared" si="180"/>
        <v>21,0353732052265</v>
      </c>
      <c r="AF209" t="str">
        <f t="shared" si="162"/>
        <v>1+2,75786896845032i</v>
      </c>
      <c r="AG209">
        <f t="shared" si="181"/>
        <v>2.9335714150402463</v>
      </c>
      <c r="AH209">
        <f t="shared" si="182"/>
        <v>1.2229420098627555</v>
      </c>
      <c r="AI209" t="str">
        <f t="shared" si="163"/>
        <v>1+0,153214942691684i</v>
      </c>
      <c r="AJ209">
        <f t="shared" si="183"/>
        <v>1.0116693227848792</v>
      </c>
      <c r="AK209">
        <f t="shared" si="184"/>
        <v>0.15203265329618851</v>
      </c>
      <c r="AL209" t="str">
        <f t="shared" si="164"/>
        <v>1-0,0104249564045665i</v>
      </c>
      <c r="AM209">
        <f t="shared" si="185"/>
        <v>1.0000543383816887</v>
      </c>
      <c r="AN209">
        <f t="shared" si="186"/>
        <v>-1.042457876875709E-2</v>
      </c>
      <c r="AO209" s="58" t="str">
        <f t="shared" si="187"/>
        <v>3,41077863845212-6,40283991372165i</v>
      </c>
      <c r="AP209">
        <f t="shared" si="188"/>
        <v>17.212314711095477</v>
      </c>
      <c r="AQ209" s="60">
        <f t="shared" si="189"/>
        <v>-61.955870738986341</v>
      </c>
      <c r="AR209" t="str">
        <f t="shared" si="165"/>
        <v>-1,05811623246493</v>
      </c>
      <c r="AS209" t="str">
        <f t="shared" si="166"/>
        <v>1+0,151008647516924i</v>
      </c>
      <c r="AT209">
        <f t="shared" si="190"/>
        <v>1.0113375359517172</v>
      </c>
      <c r="AU209">
        <f t="shared" si="191"/>
        <v>0.14987625368732305</v>
      </c>
      <c r="AV209" t="str">
        <f t="shared" si="167"/>
        <v>1+0,151008647516924i</v>
      </c>
      <c r="AW209">
        <f t="shared" si="192"/>
        <v>1.0113375359517172</v>
      </c>
      <c r="AX209">
        <f t="shared" si="193"/>
        <v>0.14987625368732305</v>
      </c>
      <c r="AY209" t="str">
        <f t="shared" si="168"/>
        <v>1-0,168563495356732i</v>
      </c>
      <c r="AZ209">
        <f t="shared" si="194"/>
        <v>1.0141073177760227</v>
      </c>
      <c r="BA209">
        <f t="shared" si="195"/>
        <v>-0.16699367086169811</v>
      </c>
      <c r="BB209" s="58" t="str">
        <f t="shared" si="196"/>
        <v>-1,0081919471239+0,33060547301062i</v>
      </c>
      <c r="BC209">
        <f t="shared" si="197"/>
        <v>0.51442334098887388</v>
      </c>
      <c r="BD209" s="60">
        <f t="shared" si="198"/>
        <v>161.84469066871219</v>
      </c>
      <c r="BE209" s="58" t="str">
        <f t="shared" si="199"/>
        <v>0,190994456592647+2,62155757421395i</v>
      </c>
      <c r="BF209" s="37">
        <f t="shared" si="200"/>
        <v>8.394178954572908</v>
      </c>
      <c r="BG209" s="60">
        <f t="shared" si="201"/>
        <v>85.833058923251556</v>
      </c>
      <c r="BH209" s="58" t="str">
        <f t="shared" si="202"/>
        <v>-1,32190563842242+7,58291372483764i</v>
      </c>
      <c r="BI209" s="37">
        <f t="shared" si="203"/>
        <v>17.726738052084357</v>
      </c>
      <c r="BJ209" s="60">
        <f t="shared" si="204"/>
        <v>99.888819929725813</v>
      </c>
      <c r="BK209">
        <f t="shared" si="205"/>
        <v>8.394178954572908</v>
      </c>
      <c r="BL209" s="60">
        <f t="shared" si="206"/>
        <v>85.833058923251556</v>
      </c>
      <c r="BN209">
        <f t="shared" si="207"/>
        <v>0</v>
      </c>
      <c r="BO209">
        <f t="shared" si="208"/>
        <v>0</v>
      </c>
    </row>
    <row r="210" spans="13:67" x14ac:dyDescent="0.25">
      <c r="M210" s="66">
        <v>92</v>
      </c>
      <c r="N210" s="36">
        <f t="shared" si="209"/>
        <v>831.7637711026714</v>
      </c>
      <c r="O210" s="91" t="str">
        <f t="shared" si="157"/>
        <v>13,7404580152672</v>
      </c>
      <c r="P210" s="67" t="str">
        <f t="shared" si="158"/>
        <v>1+5,64421597808752i</v>
      </c>
      <c r="Q210" s="67">
        <f t="shared" si="169"/>
        <v>5.732117759371179</v>
      </c>
      <c r="R210" s="67">
        <f t="shared" si="170"/>
        <v>1.3954434717226567</v>
      </c>
      <c r="S210" s="67" t="str">
        <f t="shared" si="159"/>
        <v>1+0,156783777169098i</v>
      </c>
      <c r="T210" s="67">
        <f t="shared" si="171"/>
        <v>1.0122159615336095</v>
      </c>
      <c r="U210" s="67">
        <f t="shared" si="172"/>
        <v>0.15551775553201658</v>
      </c>
      <c r="V210" t="str">
        <f t="shared" si="160"/>
        <v>1-0,0326632869102287i</v>
      </c>
      <c r="W210" s="67">
        <f t="shared" si="173"/>
        <v>1.0005333029498718</v>
      </c>
      <c r="X210" s="67">
        <f t="shared" si="174"/>
        <v>-3.2651678292277865E-2</v>
      </c>
      <c r="Y210" t="str">
        <f t="shared" si="161"/>
        <v>0,999955722817861+0,0566762051140538i</v>
      </c>
      <c r="Z210" s="67">
        <f t="shared" si="175"/>
        <v>1.0015606021715915</v>
      </c>
      <c r="AA210" s="67">
        <f t="shared" si="176"/>
        <v>5.6618138388252637E-2</v>
      </c>
      <c r="AB210" s="92" t="str">
        <f t="shared" si="177"/>
        <v>0,579934144448197-2,35349483881632i</v>
      </c>
      <c r="AC210" s="37">
        <f t="shared" si="178"/>
        <v>7.6902720628182095</v>
      </c>
      <c r="AD210" s="60">
        <f t="shared" si="179"/>
        <v>-76.15729418116058</v>
      </c>
      <c r="AE210" t="str">
        <f t="shared" si="180"/>
        <v>21,0353732052265</v>
      </c>
      <c r="AF210" t="str">
        <f t="shared" si="162"/>
        <v>1+2,82210798904376i</v>
      </c>
      <c r="AG210">
        <f t="shared" si="181"/>
        <v>2.9940430026679006</v>
      </c>
      <c r="AH210">
        <f t="shared" si="182"/>
        <v>1.230255894131737</v>
      </c>
      <c r="AI210" t="str">
        <f t="shared" si="163"/>
        <v>1+0,156783777169098i</v>
      </c>
      <c r="AJ210">
        <f t="shared" si="183"/>
        <v>1.0122159615336095</v>
      </c>
      <c r="AK210">
        <f t="shared" si="184"/>
        <v>0.15551775553201658</v>
      </c>
      <c r="AL210" t="str">
        <f t="shared" si="164"/>
        <v>1-0,0106677848336252i</v>
      </c>
      <c r="AM210">
        <f t="shared" si="185"/>
        <v>1.0000568991978689</v>
      </c>
      <c r="AN210">
        <f t="shared" si="186"/>
        <v>-1.0667380190808482E-2</v>
      </c>
      <c r="AO210" s="58" t="str">
        <f t="shared" si="187"/>
        <v>3,31811974104446-6,2904877997767i</v>
      </c>
      <c r="AP210">
        <f t="shared" si="188"/>
        <v>17.039801591013582</v>
      </c>
      <c r="AQ210" s="60">
        <f t="shared" si="189"/>
        <v>-62.189155286904864</v>
      </c>
      <c r="AR210" t="str">
        <f t="shared" si="165"/>
        <v>-1,05811623246493</v>
      </c>
      <c r="AS210" t="str">
        <f t="shared" si="166"/>
        <v>1+0,154526090777863i</v>
      </c>
      <c r="AT210">
        <f t="shared" si="190"/>
        <v>1.0118687230718659</v>
      </c>
      <c r="AU210">
        <f t="shared" si="191"/>
        <v>0.15331347627687292</v>
      </c>
      <c r="AV210" t="str">
        <f t="shared" si="167"/>
        <v>1+0,154526090777863i</v>
      </c>
      <c r="AW210">
        <f t="shared" si="192"/>
        <v>1.0118687230718659</v>
      </c>
      <c r="AX210">
        <f t="shared" si="193"/>
        <v>0.15331347627687292</v>
      </c>
      <c r="AY210" t="str">
        <f t="shared" si="168"/>
        <v>1-0,164726521757011i</v>
      </c>
      <c r="AZ210">
        <f t="shared" si="194"/>
        <v>1.0134766040566319</v>
      </c>
      <c r="BA210">
        <f t="shared" si="195"/>
        <v>-0.16326037700406018</v>
      </c>
      <c r="BB210" s="58" t="str">
        <f t="shared" si="196"/>
        <v>-1,0071337110158+0,329928241842455i</v>
      </c>
      <c r="BC210">
        <f t="shared" si="197"/>
        <v>0.50445864783475902</v>
      </c>
      <c r="BD210" s="60">
        <f t="shared" si="198"/>
        <v>161.86165430280874</v>
      </c>
      <c r="BE210" s="58" t="str">
        <f t="shared" si="199"/>
        <v>0,192413187313075+2,56162064353581i</v>
      </c>
      <c r="BF210" s="37">
        <f t="shared" si="200"/>
        <v>8.194730710652955</v>
      </c>
      <c r="BG210" s="60">
        <f t="shared" si="201"/>
        <v>85.704360121648151</v>
      </c>
      <c r="BH210" s="58" t="str">
        <f t="shared" si="202"/>
        <v>-1,26638066828115+7,43010373427426i</v>
      </c>
      <c r="BI210" s="37">
        <f t="shared" si="203"/>
        <v>17.544260238848334</v>
      </c>
      <c r="BJ210" s="60">
        <f t="shared" si="204"/>
        <v>99.672499015903853</v>
      </c>
      <c r="BK210">
        <f t="shared" si="205"/>
        <v>8.194730710652955</v>
      </c>
      <c r="BL210" s="60">
        <f t="shared" si="206"/>
        <v>85.704360121648151</v>
      </c>
      <c r="BN210">
        <f t="shared" si="207"/>
        <v>0</v>
      </c>
      <c r="BO210">
        <f t="shared" si="208"/>
        <v>0</v>
      </c>
    </row>
    <row r="211" spans="13:67" x14ac:dyDescent="0.25">
      <c r="M211" s="66">
        <v>93</v>
      </c>
      <c r="N211" s="36">
        <f t="shared" si="209"/>
        <v>851.13803820237763</v>
      </c>
      <c r="O211" s="91" t="str">
        <f t="shared" ref="O211:O274" si="210">COMPLEX(adc,0)</f>
        <v>13,7404580152672</v>
      </c>
      <c r="P211" s="67" t="str">
        <f t="shared" ref="P211:P274" si="211">IMSUM(COMPLEX(1,0),IMDIV(COMPLEX(0,2*PI()*N211),COMPLEX(wp_lf,0)))</f>
        <v>1+5,77568665729603i</v>
      </c>
      <c r="Q211" s="67">
        <f t="shared" si="169"/>
        <v>5.8616172139834752</v>
      </c>
      <c r="R211" s="67">
        <f t="shared" si="170"/>
        <v>1.3993563600822818</v>
      </c>
      <c r="S211" s="67" t="str">
        <f t="shared" ref="S211:S274" si="212">IMSUM(COMPLEX(1,0),IMDIV(COMPLEX(0,2*PI()*N211),COMPLEX(wz_esr,0)))</f>
        <v>1+0,160435740480445i</v>
      </c>
      <c r="T211" s="67">
        <f t="shared" si="171"/>
        <v>1.0127880463470669</v>
      </c>
      <c r="U211" s="67">
        <f t="shared" si="172"/>
        <v>0.15908009724429631</v>
      </c>
      <c r="V211" t="str">
        <f t="shared" ref="V211:V274" si="213">IMSUB(COMPLEX(1,0),IMDIV(COMPLEX(0,2*PI()*N211),COMPLEX(wz_rhp,0)))</f>
        <v>1-0,0334241126000928i</v>
      </c>
      <c r="W211" s="67">
        <f t="shared" si="173"/>
        <v>1.0005584297296704</v>
      </c>
      <c r="X211" s="67">
        <f t="shared" si="174"/>
        <v>-3.341167411676936E-2</v>
      </c>
      <c r="Y211" t="str">
        <f t="shared" ref="Y211:Y274" si="214">IMSUM(COMPLEX(1,0),IMDIV(COMPLEX(0,2*PI()*N211),COMPLEX(Q*(wsl/2),0)),IMDIV(IMPOWER(COMPLEX(0,2*PI()*N211),2),IMPOWER(COMPLEX(wsl/2,0),2)))</f>
        <v>0,999953636098555+0,057996363522278i</v>
      </c>
      <c r="Z211" s="67">
        <f t="shared" si="175"/>
        <v>1.0016340911373423</v>
      </c>
      <c r="AA211" s="67">
        <f t="shared" si="176"/>
        <v>5.793414938442102E-2</v>
      </c>
      <c r="AB211" s="92" t="str">
        <f t="shared" si="177"/>
        <v>0,561825662836131-2,3040592984736i</v>
      </c>
      <c r="AC211" s="37">
        <f t="shared" si="178"/>
        <v>7.5007136011971189</v>
      </c>
      <c r="AD211" s="60">
        <f t="shared" si="179"/>
        <v>-76.296325453640122</v>
      </c>
      <c r="AE211" t="str">
        <f t="shared" si="180"/>
        <v>21,0353732052265</v>
      </c>
      <c r="AF211" t="str">
        <f t="shared" ref="AF211:AF274" si="215">IMSUM(COMPLEX(1,0),IMDIV(COMPLEX(0,2*PI()*N211),COMPLEX(wp_lf_DCM,0)))</f>
        <v>1+2,88784332864802i</v>
      </c>
      <c r="AG211">
        <f t="shared" si="181"/>
        <v>3.0560823108707127</v>
      </c>
      <c r="AH211">
        <f t="shared" si="182"/>
        <v>1.2374401131868027</v>
      </c>
      <c r="AI211" t="str">
        <f t="shared" ref="AI211:AI274" si="216">IMSUM(COMPLEX(1,0),IMDIV(COMPLEX(0,2*PI()*N211),COMPLEX(wz1_dcm,0)))</f>
        <v>1+0,160435740480445i</v>
      </c>
      <c r="AJ211">
        <f t="shared" si="183"/>
        <v>1.0127880463470669</v>
      </c>
      <c r="AK211">
        <f t="shared" si="184"/>
        <v>0.15908009724429631</v>
      </c>
      <c r="AL211" t="str">
        <f t="shared" ref="AL211:AL274" si="217">IMSUB(COMPLEX(1,0),IMDIV(COMPLEX(0,2*PI()*N211),COMPLEX(wz2_dcm,0)))</f>
        <v>1-0,0109162694634076i</v>
      </c>
      <c r="AM211">
        <f t="shared" si="185"/>
        <v>1.0000595806945694</v>
      </c>
      <c r="AN211">
        <f t="shared" si="186"/>
        <v>-1.0915835882212887E-2</v>
      </c>
      <c r="AO211" s="58" t="str">
        <f t="shared" si="187"/>
        <v>3,22871709677764-6,17883125372969i</v>
      </c>
      <c r="AP211">
        <f t="shared" si="188"/>
        <v>16.866592322269636</v>
      </c>
      <c r="AQ211" s="60">
        <f t="shared" si="189"/>
        <v>-62.41090903507407</v>
      </c>
      <c r="AR211" t="str">
        <f t="shared" ref="AR211:AR274" si="218">COMPLEX(adc_ea,0)</f>
        <v>-1,05811623246493</v>
      </c>
      <c r="AS211" t="str">
        <f t="shared" ref="AS211:AS274" si="219">IMSUM(COMPLEX(1,0), IMDIV(COMPLEX(0,2*PI()*N211), COMPLEX(wp0_ea,0)))</f>
        <v>1+0,158125465817527i</v>
      </c>
      <c r="AT211">
        <f t="shared" si="190"/>
        <v>1.0124246455613424</v>
      </c>
      <c r="AU211">
        <f t="shared" si="191"/>
        <v>0.15682698562577854</v>
      </c>
      <c r="AV211" t="str">
        <f t="shared" ref="AV211:AV274" si="220">IMSUM(COMPLEX(1,0),IMDIV(COMPLEX(0,2*PI()*N211),COMPLEX(wp1_ea,0)))</f>
        <v>1+0,158125465817527i</v>
      </c>
      <c r="AW211">
        <f t="shared" si="192"/>
        <v>1.0124246455613424</v>
      </c>
      <c r="AX211">
        <f t="shared" si="193"/>
        <v>0.15682698562577854</v>
      </c>
      <c r="AY211" t="str">
        <f t="shared" ref="AY211:AY274" si="221">IMSUM(COMPLEX(1,0),IMDIV(COMPLEX(wz_ea,0),COMPLEX(0,2*PI()*N211)))</f>
        <v>1-0,160976888339538i</v>
      </c>
      <c r="AZ211">
        <f t="shared" si="194"/>
        <v>1.0128739105039086</v>
      </c>
      <c r="BA211">
        <f t="shared" si="195"/>
        <v>-0.15960762098952411</v>
      </c>
      <c r="BB211" s="58" t="str">
        <f t="shared" si="196"/>
        <v>-1,00602798020421+0,329410901599017i</v>
      </c>
      <c r="BC211">
        <f t="shared" si="197"/>
        <v>0.49452105971684213</v>
      </c>
      <c r="BD211" s="60">
        <f t="shared" si="198"/>
        <v>161.86963254906061</v>
      </c>
      <c r="BE211" s="58" t="str">
        <f t="shared" si="199"/>
        <v>0,193769914037863+2,50301962045044i</v>
      </c>
      <c r="BF211" s="37">
        <f t="shared" si="200"/>
        <v>7.9952346609139626</v>
      </c>
      <c r="BG211" s="60">
        <f t="shared" si="201"/>
        <v>85.573307095420489</v>
      </c>
      <c r="BH211" s="58" t="str">
        <f t="shared" si="202"/>
        <v>-1,21280536540273+7,27965173607001i</v>
      </c>
      <c r="BI211" s="37">
        <f t="shared" si="203"/>
        <v>17.361113381986478</v>
      </c>
      <c r="BJ211" s="60">
        <f t="shared" si="204"/>
        <v>99.458723513986556</v>
      </c>
      <c r="BK211">
        <f t="shared" si="205"/>
        <v>7.9952346609139626</v>
      </c>
      <c r="BL211" s="60">
        <f t="shared" si="206"/>
        <v>85.573307095420489</v>
      </c>
      <c r="BN211">
        <f t="shared" si="207"/>
        <v>0</v>
      </c>
      <c r="BO211">
        <f t="shared" si="208"/>
        <v>0</v>
      </c>
    </row>
    <row r="212" spans="13:67" x14ac:dyDescent="0.25">
      <c r="M212" s="66">
        <v>94</v>
      </c>
      <c r="N212" s="36">
        <f t="shared" si="209"/>
        <v>870.96358995608091</v>
      </c>
      <c r="O212" s="91" t="str">
        <f t="shared" si="210"/>
        <v>13,7404580152672</v>
      </c>
      <c r="P212" s="67" t="str">
        <f t="shared" si="211"/>
        <v>1+5,91021968202046i</v>
      </c>
      <c r="Q212" s="67">
        <f t="shared" ref="Q212:Q275" si="222">IMABS(P212)</f>
        <v>5.9942219419822971</v>
      </c>
      <c r="R212" s="67">
        <f t="shared" ref="R212:R275" si="223">IMARGUMENT(P212)</f>
        <v>1.4031853100785701</v>
      </c>
      <c r="S212" s="67" t="str">
        <f t="shared" si="212"/>
        <v>1+0,164172768945013i</v>
      </c>
      <c r="T212" s="67">
        <f t="shared" ref="T212:T275" si="224">IMABS(S212)</f>
        <v>1.0133867465400721</v>
      </c>
      <c r="U212" s="67">
        <f t="shared" ref="U212:U275" si="225">IMARGUMENT(S212)</f>
        <v>0.16272120539208551</v>
      </c>
      <c r="V212" t="str">
        <f t="shared" si="213"/>
        <v>1-0,0342026601968777i</v>
      </c>
      <c r="W212" s="67">
        <f t="shared" ref="W212:W275" si="226">IMABS(V212)</f>
        <v>1.0005847400218251</v>
      </c>
      <c r="X212" s="67">
        <f t="shared" ref="X212:X275" si="227">IMARGUMENT(V212)</f>
        <v>-3.4189332542502782E-2</v>
      </c>
      <c r="Y212" t="str">
        <f t="shared" si="214"/>
        <v>0,999951451035198+0,0593472723701141i</v>
      </c>
      <c r="Z212" s="67">
        <f t="shared" ref="Z212:Z275" si="228">IMABS(Y212)</f>
        <v>1.0017110377574814</v>
      </c>
      <c r="AA212" s="67">
        <f t="shared" ref="AA212:AA275" si="229">IMARGUMENT(Y212)</f>
        <v>5.9280614867493836E-2</v>
      </c>
      <c r="AB212" s="92" t="str">
        <f t="shared" ref="AB212:AB275" si="230">(IMDIV(IMPRODUCT(O212,S212,V212),IMPRODUCT(P212,Y212)))</f>
        <v>0,544480557663164-2,25557153009229i</v>
      </c>
      <c r="AC212" s="37">
        <f t="shared" ref="AC212:AC275" si="231">20*LOG(IMABS(AB212))</f>
        <v>7.3111005275565883</v>
      </c>
      <c r="AD212" s="60">
        <f t="shared" ref="AD212:AD275" si="232">(180/PI())*IMARGUMENT(AB212)</f>
        <v>-76.428791333912429</v>
      </c>
      <c r="AE212" t="str">
        <f t="shared" ref="AE212:AE275" si="233">COMPLEX($B$67,0)</f>
        <v>21,0353732052265</v>
      </c>
      <c r="AF212" t="str">
        <f t="shared" si="215"/>
        <v>1+2,95510984101024i</v>
      </c>
      <c r="AG212">
        <f t="shared" ref="AG212:AG275" si="234">IMABS(AF212)</f>
        <v>3.119723412810111</v>
      </c>
      <c r="AH212">
        <f t="shared" ref="AH212:AH275" si="235">IMARGUMENT(AF212)</f>
        <v>1.244495508864822</v>
      </c>
      <c r="AI212" t="str">
        <f t="shared" si="216"/>
        <v>1+0,164172768945013i</v>
      </c>
      <c r="AJ212">
        <f t="shared" ref="AJ212:AJ275" si="236">IMABS(AI212)</f>
        <v>1.0133867465400721</v>
      </c>
      <c r="AK212">
        <f t="shared" ref="AK212:AK275" si="237">IMARGUMENT(AI212)</f>
        <v>0.16272120539208551</v>
      </c>
      <c r="AL212" t="str">
        <f t="shared" si="217"/>
        <v>1-0,0111705420437534i</v>
      </c>
      <c r="AM212">
        <f t="shared" ref="AM212:AM275" si="238">IMABS(AL212)</f>
        <v>1.0000623885586095</v>
      </c>
      <c r="AN212">
        <f t="shared" ref="AN212:AN275" si="239">IMARGUMENT(AL212)</f>
        <v>-1.1170077454698221E-2</v>
      </c>
      <c r="AO212" s="58" t="str">
        <f t="shared" ref="AO212:AO275" si="240">(IMDIV(IMPRODUCT(AE212,AI212,AL212),IMPRODUCT(AF212)))</f>
        <v>3,14249188948471-6,0679497638124i</v>
      </c>
      <c r="AP212">
        <f t="shared" ref="AP212:AP275" si="241">20*LOG(IMABS(AO212))</f>
        <v>16.692728872979853</v>
      </c>
      <c r="AQ212" s="60">
        <f t="shared" ref="AQ212:AQ275" si="242">(180/PI())*IMARGUMENT(AO212)</f>
        <v>-62.621100269680589</v>
      </c>
      <c r="AR212" t="str">
        <f t="shared" si="218"/>
        <v>-1,05811623246493</v>
      </c>
      <c r="AS212" t="str">
        <f t="shared" si="219"/>
        <v>1+0,161808681072205i</v>
      </c>
      <c r="AT212">
        <f t="shared" ref="AT212:AT275" si="243">IMABS(AS212)</f>
        <v>1.0130064408829427</v>
      </c>
      <c r="AU212">
        <f t="shared" ref="AU212:AU275" si="244">IMARGUMENT(AS212)</f>
        <v>0.16041829747819566</v>
      </c>
      <c r="AV212" t="str">
        <f t="shared" si="220"/>
        <v>1+0,161808681072205i</v>
      </c>
      <c r="AW212">
        <f t="shared" ref="AW212:AW275" si="245">IMABS(AV212)</f>
        <v>1.0130064408829427</v>
      </c>
      <c r="AX212">
        <f t="shared" ref="AX212:AX275" si="246">IMARGUMENT(AV212)</f>
        <v>0.16041829747819566</v>
      </c>
      <c r="AY212" t="str">
        <f t="shared" si="221"/>
        <v>1-0,157312606999044i</v>
      </c>
      <c r="AZ212">
        <f t="shared" ref="AZ212:AZ275" si="247">IMABS(AY212)</f>
        <v>1.0122980076641639</v>
      </c>
      <c r="BA212">
        <f t="shared" ref="BA212:BA275" si="248">IMARGUMENT(AY212)</f>
        <v>-0.1560338561753398</v>
      </c>
      <c r="BB212" s="58" t="str">
        <f t="shared" ref="BB212:BB275" si="249">IMDIV(IMPRODUCT(AR212,AY212), AS212)</f>
        <v>-1,00487273721333+0,329052155290971i</v>
      </c>
      <c r="BC212">
        <f t="shared" ref="BC212:BC275" si="250">20*LOG(IMABS(BB212))</f>
        <v>0.48459104634112354</v>
      </c>
      <c r="BD212" s="60">
        <f t="shared" ref="BD212:BD275" si="251">(180/PI())*IMARGUMENT(BB212)</f>
        <v>161.86862717782691</v>
      </c>
      <c r="BE212" s="58" t="str">
        <f t="shared" ref="BE212:BE275" si="252">IMPRODUCT(AB212,BB212)</f>
        <v>0,195067005051397+2,44572483843739i</v>
      </c>
      <c r="BF212" s="37">
        <f t="shared" ref="BF212:BF275" si="253">20*LOG(IMABS(BE212))</f>
        <v>7.795691573897706</v>
      </c>
      <c r="BG212" s="60">
        <f t="shared" ref="BG212:BG275" si="254">(180/PI())*IMARGUMENT(BE212)</f>
        <v>85.439835843914494</v>
      </c>
      <c r="BH212" s="58" t="str">
        <f t="shared" ref="BH212:BH275" si="255">IMPRODUCT(AO212,BB212)</f>
        <v>-1,16113247867738+7,13156101765448i</v>
      </c>
      <c r="BI212" s="37">
        <f t="shared" ref="BI212:BI275" si="256">20*LOG(IMABS(BH212))</f>
        <v>17.177319919320972</v>
      </c>
      <c r="BJ212" s="60">
        <f t="shared" ref="BJ212:BJ275" si="257">(180/PI())*IMARGUMENT(BH212)</f>
        <v>99.247526908146327</v>
      </c>
      <c r="BK212">
        <f t="shared" ref="BK212:BK275" si="258">IF($B$19=0,BF212,BI212)</f>
        <v>7.795691573897706</v>
      </c>
      <c r="BL212" s="60">
        <f t="shared" ref="BL212:BL275" si="259">IF($B$19=0,BG212,BJ212)</f>
        <v>85.439835843914494</v>
      </c>
      <c r="BN212">
        <f t="shared" si="207"/>
        <v>0</v>
      </c>
      <c r="BO212">
        <f t="shared" si="208"/>
        <v>0</v>
      </c>
    </row>
    <row r="213" spans="13:67" x14ac:dyDescent="0.25">
      <c r="M213" s="66">
        <v>95</v>
      </c>
      <c r="N213" s="36">
        <f t="shared" si="209"/>
        <v>891.25093813374656</v>
      </c>
      <c r="O213" s="91" t="str">
        <f t="shared" si="210"/>
        <v>13,7404580152672</v>
      </c>
      <c r="P213" s="67" t="str">
        <f t="shared" si="211"/>
        <v>1+6,04788638345134i</v>
      </c>
      <c r="Q213" s="67">
        <f t="shared" si="222"/>
        <v>6.1300024230938224</v>
      </c>
      <c r="R213" s="67">
        <f t="shared" si="223"/>
        <v>1.4069319025609013</v>
      </c>
      <c r="S213" s="67" t="str">
        <f t="shared" si="212"/>
        <v>1+0,16799684398476i</v>
      </c>
      <c r="T213" s="67">
        <f t="shared" si="224"/>
        <v>1.0140132837339162</v>
      </c>
      <c r="U213" s="67">
        <f t="shared" si="225"/>
        <v>0.16644262416204061</v>
      </c>
      <c r="V213" t="str">
        <f t="shared" si="213"/>
        <v>1-0,0349993424968249i</v>
      </c>
      <c r="W213" s="67">
        <f t="shared" si="226"/>
        <v>1.0006122895383656</v>
      </c>
      <c r="X213" s="67">
        <f t="shared" si="227"/>
        <v>-3.4985062129791494E-2</v>
      </c>
      <c r="Y213" t="str">
        <f t="shared" si="214"/>
        <v>0,999949162992978+0,060729647927315i</v>
      </c>
      <c r="Z213" s="67">
        <f t="shared" si="228"/>
        <v>1.0017916044306485</v>
      </c>
      <c r="AA213" s="67">
        <f t="shared" si="229"/>
        <v>6.0658230022087284E-2</v>
      </c>
      <c r="AB213" s="92" t="str">
        <f t="shared" si="230"/>
        <v>0,527868127778957-2,20802305478353i</v>
      </c>
      <c r="AC213" s="37">
        <f t="shared" si="231"/>
        <v>7.1214530494575756</v>
      </c>
      <c r="AD213" s="60">
        <f t="shared" si="232"/>
        <v>-76.554757162523032</v>
      </c>
      <c r="AE213" t="str">
        <f t="shared" si="233"/>
        <v>21,0353732052265</v>
      </c>
      <c r="AF213" t="str">
        <f t="shared" si="215"/>
        <v>1+3,02394319172567i</v>
      </c>
      <c r="AG213">
        <f t="shared" si="234"/>
        <v>3.1850011658999491</v>
      </c>
      <c r="AH213">
        <f t="shared" si="235"/>
        <v>1.2514230114533662</v>
      </c>
      <c r="AI213" t="str">
        <f t="shared" si="216"/>
        <v>1+0,16799684398476i</v>
      </c>
      <c r="AJ213">
        <f t="shared" si="236"/>
        <v>1.0140132837339162</v>
      </c>
      <c r="AK213">
        <f t="shared" si="237"/>
        <v>0.16644262416204061</v>
      </c>
      <c r="AL213" t="str">
        <f t="shared" si="217"/>
        <v>1-0,0114307373933504i</v>
      </c>
      <c r="AM213">
        <f t="shared" si="238"/>
        <v>1.0000653287447554</v>
      </c>
      <c r="AN213">
        <f t="shared" si="239"/>
        <v>-1.1430239578965103E-2</v>
      </c>
      <c r="AO213" s="58" t="str">
        <f t="shared" si="240"/>
        <v>3,05936430709302-5,9579173840029i</v>
      </c>
      <c r="AP213">
        <f t="shared" si="241"/>
        <v>16.51825282564705</v>
      </c>
      <c r="AQ213" s="60">
        <f t="shared" si="242"/>
        <v>-62.819701532960586</v>
      </c>
      <c r="AR213" t="str">
        <f t="shared" si="218"/>
        <v>-1,05811623246493</v>
      </c>
      <c r="AS213" t="str">
        <f t="shared" si="219"/>
        <v>1+0,165577689431379i</v>
      </c>
      <c r="AT213">
        <f t="shared" si="243"/>
        <v>1.0136152974563053</v>
      </c>
      <c r="AU213">
        <f t="shared" si="244"/>
        <v>0.16408894525408449</v>
      </c>
      <c r="AV213" t="str">
        <f t="shared" si="220"/>
        <v>1+0,165577689431379i</v>
      </c>
      <c r="AW213">
        <f t="shared" si="245"/>
        <v>1.0136152974563053</v>
      </c>
      <c r="AX213">
        <f t="shared" si="246"/>
        <v>0.16408894525408449</v>
      </c>
      <c r="AY213" t="str">
        <f t="shared" si="221"/>
        <v>1-0,153731734885059i</v>
      </c>
      <c r="AZ213">
        <f t="shared" si="247"/>
        <v>1.0117477187079644</v>
      </c>
      <c r="BA213">
        <f t="shared" si="248"/>
        <v>-0.15253755303766847</v>
      </c>
      <c r="BB213" s="58" t="str">
        <f t="shared" si="249"/>
        <v>-1,00366588956904+0,328850723082807i</v>
      </c>
      <c r="BC213">
        <f t="shared" si="250"/>
        <v>0.47464908880796691</v>
      </c>
      <c r="BD213" s="60">
        <f t="shared" si="251"/>
        <v>161.8586379658764</v>
      </c>
      <c r="BE213" s="58" t="str">
        <f t="shared" si="252"/>
        <v>0,196306744106662+2,38970723898074i</v>
      </c>
      <c r="BF213" s="37">
        <f t="shared" si="253"/>
        <v>7.5961021382655467</v>
      </c>
      <c r="BG213" s="60">
        <f t="shared" si="254"/>
        <v>85.303880803353366</v>
      </c>
      <c r="BH213" s="58" t="str">
        <f t="shared" si="255"/>
        <v>-1,11131415899731+6,98583261575539i</v>
      </c>
      <c r="BI213" s="37">
        <f t="shared" si="256"/>
        <v>16.992901914455018</v>
      </c>
      <c r="BJ213" s="60">
        <f t="shared" si="257"/>
        <v>99.038936432915847</v>
      </c>
      <c r="BK213">
        <f t="shared" si="258"/>
        <v>7.5961021382655467</v>
      </c>
      <c r="BL213" s="60">
        <f t="shared" si="259"/>
        <v>85.303880803353366</v>
      </c>
      <c r="BN213">
        <f t="shared" ref="BN213:BN276" si="260">SUM((BK214&lt;0)*(BK213&gt;0))*N213</f>
        <v>0</v>
      </c>
      <c r="BO213">
        <f t="shared" ref="BO213:BO276" si="261">IF(BN213&gt;0,BL213,0)</f>
        <v>0</v>
      </c>
    </row>
    <row r="214" spans="13:67" x14ac:dyDescent="0.25">
      <c r="M214" s="66">
        <v>96</v>
      </c>
      <c r="N214" s="36">
        <f t="shared" si="209"/>
        <v>912.01083935590987</v>
      </c>
      <c r="O214" s="91" t="str">
        <f t="shared" si="210"/>
        <v>13,7404580152672</v>
      </c>
      <c r="P214" s="67" t="str">
        <f t="shared" si="211"/>
        <v>1+6,18875975429594i</v>
      </c>
      <c r="Q214" s="67">
        <f t="shared" si="222"/>
        <v>6.2690308099731933</v>
      </c>
      <c r="R214" s="67">
        <f t="shared" si="223"/>
        <v>1.410597703084038</v>
      </c>
      <c r="S214" s="67" t="str">
        <f t="shared" si="212"/>
        <v>1+0,171909993174887i</v>
      </c>
      <c r="T214" s="67">
        <f t="shared" si="224"/>
        <v>1.0146689340634165</v>
      </c>
      <c r="U214" s="67">
        <f t="shared" si="225"/>
        <v>0.17024591418918764</v>
      </c>
      <c r="V214" t="str">
        <f t="shared" si="213"/>
        <v>1-0,0358145819114348i</v>
      </c>
      <c r="W214" s="67">
        <f t="shared" si="226"/>
        <v>1.0006411366106687</v>
      </c>
      <c r="X214" s="67">
        <f t="shared" si="227"/>
        <v>-3.5799280751936127E-2</v>
      </c>
      <c r="Y214" t="str">
        <f t="shared" si="214"/>
        <v>0,999946767118649+0,0621442231476988i</v>
      </c>
      <c r="Z214" s="67">
        <f t="shared" si="228"/>
        <v>1.0018759611557055</v>
      </c>
      <c r="AA214" s="67">
        <f t="shared" si="229"/>
        <v>6.2067705218755757E-2</v>
      </c>
      <c r="AB214" s="92" t="str">
        <f t="shared" si="230"/>
        <v>0,511958719317578-2,16140484344501i</v>
      </c>
      <c r="AC214" s="37">
        <f t="shared" si="231"/>
        <v>6.9317913119456307</v>
      </c>
      <c r="AD214" s="60">
        <f t="shared" si="232"/>
        <v>-76.674287864963276</v>
      </c>
      <c r="AE214" t="str">
        <f t="shared" si="233"/>
        <v>21,0353732052265</v>
      </c>
      <c r="AF214" t="str">
        <f t="shared" si="215"/>
        <v>1+3,09437987714797i</v>
      </c>
      <c r="AG214">
        <f t="shared" si="234"/>
        <v>3.2519512333517984</v>
      </c>
      <c r="AH214">
        <f t="shared" si="235"/>
        <v>1.2582236334936678</v>
      </c>
      <c r="AI214" t="str">
        <f t="shared" si="216"/>
        <v>1+0,171909993174887i</v>
      </c>
      <c r="AJ214">
        <f t="shared" si="236"/>
        <v>1.0146689340634165</v>
      </c>
      <c r="AK214">
        <f t="shared" si="237"/>
        <v>0.17024591418918764</v>
      </c>
      <c r="AL214" t="str">
        <f t="shared" si="217"/>
        <v>1-0,011696993471217i</v>
      </c>
      <c r="AM214">
        <f t="shared" si="238"/>
        <v>1.0000684074883406</v>
      </c>
      <c r="AN214">
        <f t="shared" si="239"/>
        <v>-1.1696460055463348E-2</v>
      </c>
      <c r="AO214" s="58" t="str">
        <f t="shared" si="240"/>
        <v>2,97925383592966-5,84880287772111i</v>
      </c>
      <c r="AP214">
        <f t="shared" si="241"/>
        <v>16.343205383707971</v>
      </c>
      <c r="AQ214" s="60">
        <f t="shared" si="242"/>
        <v>-63.006689316837083</v>
      </c>
      <c r="AR214" t="str">
        <f t="shared" si="218"/>
        <v>-1,05811623246493</v>
      </c>
      <c r="AS214" t="str">
        <f t="shared" si="219"/>
        <v>1+0,169434489273169i</v>
      </c>
      <c r="AT214">
        <f t="shared" si="243"/>
        <v>1.014252456814998</v>
      </c>
      <c r="AU214">
        <f t="shared" si="244"/>
        <v>0.16784047932251725</v>
      </c>
      <c r="AV214" t="str">
        <f t="shared" si="220"/>
        <v>1+0,169434489273169i</v>
      </c>
      <c r="AW214">
        <f t="shared" si="245"/>
        <v>1.014252456814998</v>
      </c>
      <c r="AX214">
        <f t="shared" si="246"/>
        <v>0.16784047932251725</v>
      </c>
      <c r="AY214" t="str">
        <f t="shared" si="221"/>
        <v>1-0,150232373371791i</v>
      </c>
      <c r="AZ214">
        <f t="shared" si="247"/>
        <v>1.0112219172906218</v>
      </c>
      <c r="BA214">
        <f t="shared" si="248"/>
        <v>-0.14911719988009317</v>
      </c>
      <c r="BB214" s="58" t="str">
        <f t="shared" si="249"/>
        <v>-1,00240526802862+0,328805337539587i</v>
      </c>
      <c r="BC214">
        <f t="shared" si="250"/>
        <v>0.46467565025204605</v>
      </c>
      <c r="BD214" s="60">
        <f t="shared" si="251"/>
        <v>161.83966269742899</v>
      </c>
      <c r="BE214" s="58" t="str">
        <f t="shared" si="252"/>
        <v>0,197491331851509+2,3349383609234i</v>
      </c>
      <c r="BF214" s="37">
        <f t="shared" si="253"/>
        <v>7.3964669621976631</v>
      </c>
      <c r="BG214" s="60">
        <f t="shared" si="254"/>
        <v>85.165374832465716</v>
      </c>
      <c r="BH214" s="58" t="str">
        <f t="shared" si="255"/>
        <v>-1,06330213551877+6,84246537942755i</v>
      </c>
      <c r="BI214" s="37">
        <f t="shared" si="256"/>
        <v>16.807881033960012</v>
      </c>
      <c r="BJ214" s="60">
        <f t="shared" si="257"/>
        <v>98.832973380591923</v>
      </c>
      <c r="BK214">
        <f t="shared" si="258"/>
        <v>7.3964669621976631</v>
      </c>
      <c r="BL214" s="60">
        <f t="shared" si="259"/>
        <v>85.165374832465716</v>
      </c>
      <c r="BN214">
        <f t="shared" si="260"/>
        <v>0</v>
      </c>
      <c r="BO214">
        <f t="shared" si="261"/>
        <v>0</v>
      </c>
    </row>
    <row r="215" spans="13:67" x14ac:dyDescent="0.25">
      <c r="M215" s="66">
        <v>97</v>
      </c>
      <c r="N215" s="36">
        <f t="shared" si="209"/>
        <v>933.25430079699106</v>
      </c>
      <c r="O215" s="91" t="str">
        <f t="shared" si="210"/>
        <v>13,7404580152672</v>
      </c>
      <c r="P215" s="67" t="str">
        <f t="shared" si="211"/>
        <v>1+6,33291448748019i</v>
      </c>
      <c r="Q215" s="67">
        <f t="shared" si="222"/>
        <v>6.4113809671346527</v>
      </c>
      <c r="R215" s="67">
        <f t="shared" si="223"/>
        <v>1.4141842610130766</v>
      </c>
      <c r="S215" s="67" t="str">
        <f t="shared" si="212"/>
        <v>1+0,175914291318894i</v>
      </c>
      <c r="T215" s="67">
        <f t="shared" si="224"/>
        <v>1.0153550304648264</v>
      </c>
      <c r="U215" s="67">
        <f t="shared" si="225"/>
        <v>0.17413265169007536</v>
      </c>
      <c r="V215" t="str">
        <f t="shared" si="213"/>
        <v>1-0,0366488106914363i</v>
      </c>
      <c r="W215" s="67">
        <f t="shared" si="226"/>
        <v>1.0006713423122982</v>
      </c>
      <c r="X215" s="67">
        <f t="shared" si="227"/>
        <v>-3.6632415797658691E-2</v>
      </c>
      <c r="Y215" t="str">
        <f t="shared" si="214"/>
        <v>0,999944258330243+0,0635917480577716i</v>
      </c>
      <c r="Z215" s="67">
        <f t="shared" si="228"/>
        <v>1.0019642858848128</v>
      </c>
      <c r="AA215" s="67">
        <f t="shared" si="229"/>
        <v>6.3509766296666242E-2</v>
      </c>
      <c r="AB215" s="92" t="str">
        <f t="shared" si="230"/>
        <v>0,496723703907312-2,11570737098443i</v>
      </c>
      <c r="AC215" s="37">
        <f t="shared" si="231"/>
        <v>6.7421354262499271</v>
      </c>
      <c r="AD215" s="60">
        <f t="shared" si="232"/>
        <v>-76.78744797784897</v>
      </c>
      <c r="AE215" t="str">
        <f t="shared" si="233"/>
        <v>21,0353732052265</v>
      </c>
      <c r="AF215" t="str">
        <f t="shared" si="215"/>
        <v>1+3,1664572437401i</v>
      </c>
      <c r="AG215">
        <f t="shared" si="234"/>
        <v>3.3206101060549322</v>
      </c>
      <c r="AH215">
        <f t="shared" si="235"/>
        <v>1.2648984637558736</v>
      </c>
      <c r="AI215" t="str">
        <f t="shared" si="216"/>
        <v>1+0,175914291318894i</v>
      </c>
      <c r="AJ215">
        <f t="shared" si="236"/>
        <v>1.0153550304648264</v>
      </c>
      <c r="AK215">
        <f t="shared" si="237"/>
        <v>0.17413265169007536</v>
      </c>
      <c r="AL215" t="str">
        <f t="shared" si="217"/>
        <v>1-0,0119694514498501i</v>
      </c>
      <c r="AM215">
        <f t="shared" si="238"/>
        <v>1.0000716313184823</v>
      </c>
      <c r="AN215">
        <f t="shared" si="239"/>
        <v>-1.1968879886783393E-2</v>
      </c>
      <c r="AO215" s="58" t="str">
        <f t="shared" si="240"/>
        <v>2,90207953455742-5,74066987239281i</v>
      </c>
      <c r="AP215">
        <f t="shared" si="241"/>
        <v>16.167627381263454</v>
      </c>
      <c r="AQ215" s="60">
        <f t="shared" si="242"/>
        <v>-63.182043771541871</v>
      </c>
      <c r="AR215" t="str">
        <f t="shared" si="218"/>
        <v>-1,05811623246493</v>
      </c>
      <c r="AS215" t="str">
        <f t="shared" si="219"/>
        <v>1+0,173381125523902i</v>
      </c>
      <c r="AT215">
        <f t="shared" si="243"/>
        <v>1.0149192158432783</v>
      </c>
      <c r="AU215">
        <f t="shared" si="244"/>
        <v>0.17167446619063823</v>
      </c>
      <c r="AV215" t="str">
        <f t="shared" si="220"/>
        <v>1+0,173381125523902i</v>
      </c>
      <c r="AW215">
        <f t="shared" si="245"/>
        <v>1.0149192158432783</v>
      </c>
      <c r="AX215">
        <f t="shared" si="246"/>
        <v>0.17167446619063823</v>
      </c>
      <c r="AY215" t="str">
        <f t="shared" si="221"/>
        <v>1-0,146812667051445i</v>
      </c>
      <c r="AZ215">
        <f t="shared" si="247"/>
        <v>1.0107195254900136</v>
      </c>
      <c r="BA215">
        <f t="shared" si="248"/>
        <v>-0.14577130346390971</v>
      </c>
      <c r="BB215" s="58" t="str">
        <f t="shared" si="249"/>
        <v>-1,00108862487322+0,328914738668297i</v>
      </c>
      <c r="BC215">
        <f t="shared" si="250"/>
        <v>0.45465114649505944</v>
      </c>
      <c r="BD215" s="60">
        <f t="shared" si="251"/>
        <v>161.81169717451232</v>
      </c>
      <c r="BE215" s="58" t="str">
        <f t="shared" si="252"/>
        <v>0,19862288733943+2,28139032991396i</v>
      </c>
      <c r="BF215" s="37">
        <f t="shared" si="253"/>
        <v>7.1967865727449878</v>
      </c>
      <c r="BG215" s="60">
        <f t="shared" si="254"/>
        <v>85.024249196663348</v>
      </c>
      <c r="BH215" s="58" t="str">
        <f t="shared" si="255"/>
        <v>-1,01704787966376+6,70145604010841i</v>
      </c>
      <c r="BI215" s="37">
        <f t="shared" si="256"/>
        <v>16.622278527758517</v>
      </c>
      <c r="BJ215" s="60">
        <f t="shared" si="257"/>
        <v>98.62965340297049</v>
      </c>
      <c r="BK215">
        <f t="shared" si="258"/>
        <v>7.1967865727449878</v>
      </c>
      <c r="BL215" s="60">
        <f t="shared" si="259"/>
        <v>85.024249196663348</v>
      </c>
      <c r="BN215">
        <f t="shared" si="260"/>
        <v>0</v>
      </c>
      <c r="BO215">
        <f t="shared" si="261"/>
        <v>0</v>
      </c>
    </row>
    <row r="216" spans="13:67" x14ac:dyDescent="0.25">
      <c r="M216" s="66">
        <v>98</v>
      </c>
      <c r="N216" s="36">
        <f t="shared" si="209"/>
        <v>954.99258602143675</v>
      </c>
      <c r="O216" s="91" t="str">
        <f t="shared" si="210"/>
        <v>13,7404580152672</v>
      </c>
      <c r="P216" s="67" t="str">
        <f t="shared" si="211"/>
        <v>1+6,48042701575176i</v>
      </c>
      <c r="Q216" s="67">
        <f t="shared" si="222"/>
        <v>6.5571285107495996</v>
      </c>
      <c r="R216" s="67">
        <f t="shared" si="223"/>
        <v>1.4176931087176545</v>
      </c>
      <c r="S216" s="67" t="str">
        <f t="shared" si="212"/>
        <v>1+0,18001186154866i</v>
      </c>
      <c r="T216" s="67">
        <f t="shared" si="224"/>
        <v>1.0160729650464153</v>
      </c>
      <c r="U216" s="67">
        <f t="shared" si="225"/>
        <v>0.17810442750292263</v>
      </c>
      <c r="V216" t="str">
        <f t="shared" si="213"/>
        <v>1-0,0375024711559708i</v>
      </c>
      <c r="W216" s="67">
        <f t="shared" si="226"/>
        <v>1.0007029705875787</v>
      </c>
      <c r="X216" s="67">
        <f t="shared" si="227"/>
        <v>-3.7484904377220789E-2</v>
      </c>
      <c r="Y216" t="str">
        <f t="shared" si="214"/>
        <v>0,999941631306281+0,065072990154401i</v>
      </c>
      <c r="Z216" s="67">
        <f t="shared" si="228"/>
        <v>1.0020567648926386</v>
      </c>
      <c r="AA216" s="67">
        <f t="shared" si="229"/>
        <v>6.4985154847891913E-2</v>
      </c>
      <c r="AB216" s="92" t="str">
        <f t="shared" si="230"/>
        <v>0,482135455872964-2,07092066740032i</v>
      </c>
      <c r="AC216" s="37">
        <f t="shared" si="231"/>
        <v>6.5525054983892996</v>
      </c>
      <c r="AD216" s="60">
        <f t="shared" si="232"/>
        <v>-76.894301685846344</v>
      </c>
      <c r="AE216" t="str">
        <f t="shared" si="233"/>
        <v>21,0353732052265</v>
      </c>
      <c r="AF216" t="str">
        <f t="shared" si="215"/>
        <v>1+3,24021350787588i</v>
      </c>
      <c r="AG216">
        <f t="shared" si="234"/>
        <v>3.3910151247998455</v>
      </c>
      <c r="AH216">
        <f t="shared" si="235"/>
        <v>1.2714486613980214</v>
      </c>
      <c r="AI216" t="str">
        <f t="shared" si="216"/>
        <v>1+0,18001186154866i</v>
      </c>
      <c r="AJ216">
        <f t="shared" si="236"/>
        <v>1.0160729650464153</v>
      </c>
      <c r="AK216">
        <f t="shared" si="237"/>
        <v>0.17810442750292263</v>
      </c>
      <c r="AL216" t="str">
        <f t="shared" si="217"/>
        <v>1-0,0122482557900763i</v>
      </c>
      <c r="AM216">
        <f t="shared" si="238"/>
        <v>1.0000750070719191</v>
      </c>
      <c r="AN216">
        <f t="shared" si="239"/>
        <v>-1.2247643351696976E-2</v>
      </c>
      <c r="AO216" s="58" t="str">
        <f t="shared" si="240"/>
        <v>2,82776028743573-5,63357702299796i</v>
      </c>
      <c r="AP216">
        <f t="shared" si="241"/>
        <v>15.991559295773293</v>
      </c>
      <c r="AQ216" s="60">
        <f t="shared" si="242"/>
        <v>-63.345748430187243</v>
      </c>
      <c r="AR216" t="str">
        <f t="shared" si="218"/>
        <v>-1,05811623246493</v>
      </c>
      <c r="AS216" t="str">
        <f t="shared" si="219"/>
        <v>1+0,177419690742359i</v>
      </c>
      <c r="AT216">
        <f t="shared" si="243"/>
        <v>1.0156169290943875</v>
      </c>
      <c r="AU216">
        <f t="shared" si="244"/>
        <v>0.17559248760303103</v>
      </c>
      <c r="AV216" t="str">
        <f t="shared" si="220"/>
        <v>1+0,177419690742359i</v>
      </c>
      <c r="AW216">
        <f t="shared" si="245"/>
        <v>1.0156169290943875</v>
      </c>
      <c r="AX216">
        <f t="shared" si="246"/>
        <v>0.17559248760303103</v>
      </c>
      <c r="AY216" t="str">
        <f t="shared" si="221"/>
        <v>1-0,143470802750465i</v>
      </c>
      <c r="AZ216">
        <f t="shared" si="247"/>
        <v>1.0102395118197778</v>
      </c>
      <c r="BA216">
        <f t="shared" si="248"/>
        <v>-0.14249838956501101</v>
      </c>
      <c r="BB216" s="58" t="str">
        <f t="shared" si="249"/>
        <v>-0,999713632276983+0,329177668744544i</v>
      </c>
      <c r="BC216">
        <f t="shared" si="250"/>
        <v>0.44455591673341427</v>
      </c>
      <c r="BD216" s="60">
        <f t="shared" si="251"/>
        <v>161.77473523665691</v>
      </c>
      <c r="BE216" s="58" t="str">
        <f t="shared" si="252"/>
        <v>0,199703449609453+2,2290358479476i</v>
      </c>
      <c r="BF216" s="37">
        <f t="shared" si="253"/>
        <v>6.9970614151227242</v>
      </c>
      <c r="BG216" s="60">
        <f t="shared" si="254"/>
        <v>84.880433550810565</v>
      </c>
      <c r="BH216" s="58" t="str">
        <f t="shared" si="255"/>
        <v>-0,972502757037682+6,56279928755994i</v>
      </c>
      <c r="BI216" s="37">
        <f t="shared" si="256"/>
        <v>16.43611521250671</v>
      </c>
      <c r="BJ216" s="60">
        <f t="shared" si="257"/>
        <v>98.428986806469652</v>
      </c>
      <c r="BK216">
        <f t="shared" si="258"/>
        <v>6.9970614151227242</v>
      </c>
      <c r="BL216" s="60">
        <f t="shared" si="259"/>
        <v>84.880433550810565</v>
      </c>
      <c r="BN216">
        <f t="shared" si="260"/>
        <v>0</v>
      </c>
      <c r="BO216">
        <f t="shared" si="261"/>
        <v>0</v>
      </c>
    </row>
    <row r="217" spans="13:67" x14ac:dyDescent="0.25">
      <c r="M217" s="66">
        <v>99</v>
      </c>
      <c r="N217" s="36">
        <f t="shared" si="209"/>
        <v>977.23722095581138</v>
      </c>
      <c r="O217" s="91" t="str">
        <f t="shared" si="210"/>
        <v>13,7404580152672</v>
      </c>
      <c r="P217" s="67" t="str">
        <f t="shared" si="211"/>
        <v>1+6,63137555220565i</v>
      </c>
      <c r="Q217" s="67">
        <f t="shared" si="222"/>
        <v>6.7063508493360828</v>
      </c>
      <c r="R217" s="67">
        <f t="shared" si="223"/>
        <v>1.4211257608502046</v>
      </c>
      <c r="S217" s="67" t="str">
        <f t="shared" si="212"/>
        <v>1+0,184204876450157i</v>
      </c>
      <c r="T217" s="67">
        <f t="shared" si="224"/>
        <v>1.0168241915434633</v>
      </c>
      <c r="U217" s="67">
        <f t="shared" si="225"/>
        <v>0.18216284602923666</v>
      </c>
      <c r="V217" t="str">
        <f t="shared" si="213"/>
        <v>1-0,0383760159271161i</v>
      </c>
      <c r="W217" s="67">
        <f t="shared" si="226"/>
        <v>1.0007360883861629</v>
      </c>
      <c r="X217" s="67">
        <f t="shared" si="227"/>
        <v>-3.8357193532243504E-2</v>
      </c>
      <c r="Y217" t="str">
        <f t="shared" si="214"/>
        <v>0,999938880474495+0,0665887348117531i</v>
      </c>
      <c r="Z217" s="67">
        <f t="shared" si="228"/>
        <v>1.0021535931624534</v>
      </c>
      <c r="AA217" s="67">
        <f t="shared" si="229"/>
        <v>6.6494628503021388E-2</v>
      </c>
      <c r="AB217" s="92" t="str">
        <f t="shared" si="230"/>
        <v>0,468167328611274-2,02703436583442i</v>
      </c>
      <c r="AC217" s="37">
        <f t="shared" si="231"/>
        <v>6.362921657648581</v>
      </c>
      <c r="AD217" s="60">
        <f t="shared" si="232"/>
        <v>-76.994912869345484</v>
      </c>
      <c r="AE217" t="str">
        <f t="shared" si="233"/>
        <v>21,0353732052265</v>
      </c>
      <c r="AF217" t="str">
        <f t="shared" si="215"/>
        <v>1+3,31568777610283i</v>
      </c>
      <c r="AG217">
        <f t="shared" si="234"/>
        <v>3.4632045028553726</v>
      </c>
      <c r="AH217">
        <f t="shared" si="235"/>
        <v>1.2778754503180945</v>
      </c>
      <c r="AI217" t="str">
        <f t="shared" si="216"/>
        <v>1+0,184204876450157i</v>
      </c>
      <c r="AJ217">
        <f t="shared" si="236"/>
        <v>1.0168241915434633</v>
      </c>
      <c r="AK217">
        <f t="shared" si="237"/>
        <v>0.18216284602923666</v>
      </c>
      <c r="AL217" t="str">
        <f t="shared" si="217"/>
        <v>1-0,0125335543176473i</v>
      </c>
      <c r="AM217">
        <f t="shared" si="238"/>
        <v>1.0000785419075011</v>
      </c>
      <c r="AN217">
        <f t="shared" si="239"/>
        <v>-1.2532898080884078E-2</v>
      </c>
      <c r="AO217" s="58" t="str">
        <f t="shared" si="240"/>
        <v>2,75621503882371-5,52757818284655i</v>
      </c>
      <c r="AP217">
        <f t="shared" si="241"/>
        <v>15.815041263496743</v>
      </c>
      <c r="AQ217" s="60">
        <f t="shared" si="242"/>
        <v>-63.497789950141865</v>
      </c>
      <c r="AR217" t="str">
        <f t="shared" si="218"/>
        <v>-1,05811623246493</v>
      </c>
      <c r="AS217" t="str">
        <f t="shared" si="219"/>
        <v>1+0,181552326229275i</v>
      </c>
      <c r="AT217">
        <f t="shared" si="243"/>
        <v>1.016347011192172</v>
      </c>
      <c r="AU217">
        <f t="shared" si="244"/>
        <v>0.1795961395460621</v>
      </c>
      <c r="AV217" t="str">
        <f t="shared" si="220"/>
        <v>1+0,181552326229275i</v>
      </c>
      <c r="AW217">
        <f t="shared" si="245"/>
        <v>1.016347011192172</v>
      </c>
      <c r="AX217">
        <f t="shared" si="246"/>
        <v>0.1795961395460621</v>
      </c>
      <c r="AY217" t="str">
        <f t="shared" si="221"/>
        <v>1-0,140205008568163i</v>
      </c>
      <c r="AZ217">
        <f t="shared" si="247"/>
        <v>1.0097808893158944</v>
      </c>
      <c r="BA217">
        <f t="shared" si="248"/>
        <v>-0.13929700346194623</v>
      </c>
      <c r="BB217" s="58" t="str">
        <f t="shared" si="249"/>
        <v>-0,998277880767847+0,329592866915491i</v>
      </c>
      <c r="BC217">
        <f t="shared" si="250"/>
        <v>0.43437019428249896</v>
      </c>
      <c r="BD217" s="60">
        <f t="shared" si="251"/>
        <v>161.72876878997934</v>
      </c>
      <c r="BE217" s="58" t="str">
        <f t="shared" si="252"/>
        <v>0,200734979320784+2,17784818300194i</v>
      </c>
      <c r="BF217" s="37">
        <f t="shared" si="253"/>
        <v>6.7972918519310888</v>
      </c>
      <c r="BG217" s="60">
        <f t="shared" si="254"/>
        <v>84.733855920633872</v>
      </c>
      <c r="BH217" s="58" t="str">
        <f t="shared" si="255"/>
        <v>-0,929618167513488+6,42648785063214i</v>
      </c>
      <c r="BI217" s="37">
        <f t="shared" si="256"/>
        <v>16.249411457779242</v>
      </c>
      <c r="BJ217" s="60">
        <f t="shared" si="257"/>
        <v>98.230978839837476</v>
      </c>
      <c r="BK217">
        <f t="shared" si="258"/>
        <v>6.7972918519310888</v>
      </c>
      <c r="BL217" s="60">
        <f t="shared" si="259"/>
        <v>84.733855920633872</v>
      </c>
      <c r="BN217">
        <f t="shared" si="260"/>
        <v>0</v>
      </c>
      <c r="BO217">
        <f t="shared" si="261"/>
        <v>0</v>
      </c>
    </row>
    <row r="218" spans="13:67" x14ac:dyDescent="0.25">
      <c r="M218" s="66">
        <v>100</v>
      </c>
      <c r="N218" s="36">
        <f t="shared" si="209"/>
        <v>1000</v>
      </c>
      <c r="O218" s="91" t="str">
        <f t="shared" si="210"/>
        <v>13,7404580152672</v>
      </c>
      <c r="P218" s="67" t="str">
        <f t="shared" si="211"/>
        <v>1+6,78584013175396i</v>
      </c>
      <c r="Q218" s="67">
        <f t="shared" si="222"/>
        <v>6.859127225363487</v>
      </c>
      <c r="R218" s="67">
        <f t="shared" si="223"/>
        <v>1.4244837137032231</v>
      </c>
      <c r="S218" s="67" t="str">
        <f t="shared" si="212"/>
        <v>1+0,188495559215388i</v>
      </c>
      <c r="T218" s="67">
        <f t="shared" si="224"/>
        <v>1.0176102278593322</v>
      </c>
      <c r="U218" s="67">
        <f t="shared" si="225"/>
        <v>0.18630952407116516</v>
      </c>
      <c r="V218" t="str">
        <f t="shared" si="213"/>
        <v>1-0,0392699081698724i</v>
      </c>
      <c r="W218" s="67">
        <f t="shared" si="226"/>
        <v>1.0007707658038729</v>
      </c>
      <c r="X218" s="67">
        <f t="shared" si="227"/>
        <v>-3.924974044923514E-2</v>
      </c>
      <c r="Y218" t="str">
        <f t="shared" si="214"/>
        <v>0,999936+0,0681397856977084i</v>
      </c>
      <c r="Z218" s="67">
        <f t="shared" si="228"/>
        <v>1.0022549747898135</v>
      </c>
      <c r="AA218" s="67">
        <f t="shared" si="229"/>
        <v>6.8038961217752686E-2</v>
      </c>
      <c r="AB218" s="92" t="str">
        <f t="shared" si="230"/>
        <v>0,454793630304265-1,98403774771262i</v>
      </c>
      <c r="AC218" s="37">
        <f t="shared" si="231"/>
        <v>6.1734040848910379</v>
      </c>
      <c r="AD218" s="60">
        <f t="shared" si="232"/>
        <v>-77.089345162904337</v>
      </c>
      <c r="AE218" t="str">
        <f t="shared" si="233"/>
        <v>21,0353732052265</v>
      </c>
      <c r="AF218" t="str">
        <f t="shared" si="215"/>
        <v>1+3,39292006587698i</v>
      </c>
      <c r="AG218">
        <f t="shared" si="234"/>
        <v>3.537217348910108</v>
      </c>
      <c r="AH218">
        <f t="shared" si="235"/>
        <v>1.2841801137065425</v>
      </c>
      <c r="AI218" t="str">
        <f t="shared" si="216"/>
        <v>1+0,188495559215388i</v>
      </c>
      <c r="AJ218">
        <f t="shared" si="236"/>
        <v>1.0176102278593322</v>
      </c>
      <c r="AK218">
        <f t="shared" si="237"/>
        <v>0.18630952407116516</v>
      </c>
      <c r="AL218" t="str">
        <f t="shared" si="217"/>
        <v>1-0,0128254983016186i</v>
      </c>
      <c r="AM218">
        <f t="shared" si="238"/>
        <v>1.0000822433213605</v>
      </c>
      <c r="AN218">
        <f t="shared" si="239"/>
        <v>-1.2824795134381098E-2</v>
      </c>
      <c r="AO218" s="58" t="str">
        <f t="shared" si="240"/>
        <v>2,68736300744709-5,42272257995671i</v>
      </c>
      <c r="AP218">
        <f t="shared" si="241"/>
        <v>15.638113097462746</v>
      </c>
      <c r="AQ218" s="60">
        <f t="shared" si="242"/>
        <v>-63.638157871966165</v>
      </c>
      <c r="AR218" t="str">
        <f t="shared" si="218"/>
        <v>-1,05811623246493</v>
      </c>
      <c r="AS218" t="str">
        <f t="shared" si="219"/>
        <v>1+0,185781223162686i</v>
      </c>
      <c r="AT218">
        <f t="shared" si="243"/>
        <v>1.017110939317744</v>
      </c>
      <c r="AU218">
        <f t="shared" si="244"/>
        <v>0.18368703115158908</v>
      </c>
      <c r="AV218" t="str">
        <f t="shared" si="220"/>
        <v>1+0,185781223162686i</v>
      </c>
      <c r="AW218">
        <f t="shared" si="245"/>
        <v>1.017110939317744</v>
      </c>
      <c r="AX218">
        <f t="shared" si="246"/>
        <v>0.18368703115158908</v>
      </c>
      <c r="AY218" t="str">
        <f t="shared" si="221"/>
        <v>1-0,137013552937238i</v>
      </c>
      <c r="AZ218">
        <f t="shared" si="247"/>
        <v>1.0093427136946524</v>
      </c>
      <c r="BA218">
        <f t="shared" si="248"/>
        <v>-0.1361657103595621</v>
      </c>
      <c r="BB218" s="58" t="str">
        <f t="shared" si="249"/>
        <v>-0,996778877796581+0,330159063570363i</v>
      </c>
      <c r="BC218">
        <f t="shared" si="250"/>
        <v>0.42407407740185943</v>
      </c>
      <c r="BD218" s="60">
        <f t="shared" si="251"/>
        <v>161.67378784572216</v>
      </c>
      <c r="BE218" s="58" t="str">
        <f t="shared" si="252"/>
        <v>0,201719360429332+2,12780115877006i</v>
      </c>
      <c r="BF218" s="37">
        <f t="shared" si="253"/>
        <v>6.597478162292882</v>
      </c>
      <c r="BG218" s="60">
        <f t="shared" si="254"/>
        <v>84.584442682817823</v>
      </c>
      <c r="BH218" s="58" t="str">
        <f t="shared" si="255"/>
        <v>-0,888345673794785+6,2925125818638i</v>
      </c>
      <c r="BI218" s="37">
        <f t="shared" si="256"/>
        <v>16.062187174864611</v>
      </c>
      <c r="BJ218" s="60">
        <f t="shared" si="257"/>
        <v>98.035629973755974</v>
      </c>
      <c r="BK218">
        <f t="shared" si="258"/>
        <v>6.597478162292882</v>
      </c>
      <c r="BL218" s="60">
        <f t="shared" si="259"/>
        <v>84.584442682817823</v>
      </c>
      <c r="BN218">
        <f t="shared" si="260"/>
        <v>0</v>
      </c>
      <c r="BO218">
        <f t="shared" si="261"/>
        <v>0</v>
      </c>
    </row>
    <row r="219" spans="13:67" x14ac:dyDescent="0.25">
      <c r="M219" s="66">
        <v>1</v>
      </c>
      <c r="N219" s="36">
        <f>10^(3+(M219/100))</f>
        <v>1023.2929922807547</v>
      </c>
      <c r="O219" s="91" t="str">
        <f t="shared" si="210"/>
        <v>13,7404580152672</v>
      </c>
      <c r="P219" s="67" t="str">
        <f t="shared" si="211"/>
        <v>1+6,94390265356133i</v>
      </c>
      <c r="Q219" s="67">
        <f t="shared" si="222"/>
        <v>7.0155387577958734</v>
      </c>
      <c r="R219" s="67">
        <f t="shared" si="223"/>
        <v>1.4277684446407202</v>
      </c>
      <c r="S219" s="67" t="str">
        <f t="shared" si="212"/>
        <v>1+0,192886184821148i</v>
      </c>
      <c r="T219" s="67">
        <f t="shared" si="224"/>
        <v>1.0184326586941612</v>
      </c>
      <c r="U219" s="67">
        <f t="shared" si="225"/>
        <v>0.19054608955867008</v>
      </c>
      <c r="V219" t="str">
        <f t="shared" si="213"/>
        <v>1-0,0401846218377392i</v>
      </c>
      <c r="W219" s="67">
        <f t="shared" si="226"/>
        <v>1.0008070762301005</v>
      </c>
      <c r="X219" s="67">
        <f t="shared" si="227"/>
        <v>-4.0163012676831783E-2</v>
      </c>
      <c r="Y219" t="str">
        <f t="shared" si="214"/>
        <v>0,999932983772925+0,0697269651999774i</v>
      </c>
      <c r="Z219" s="67">
        <f t="shared" si="228"/>
        <v>1.0023611234046459</v>
      </c>
      <c r="AA219" s="67">
        <f t="shared" si="229"/>
        <v>6.9618943560104882E-2</v>
      </c>
      <c r="AB219" s="92" t="str">
        <f t="shared" si="230"/>
        <v>0,441989599120353-1,94191978509197i</v>
      </c>
      <c r="AC219" s="37">
        <f t="shared" si="231"/>
        <v>5.9839730406697642</v>
      </c>
      <c r="AD219" s="60">
        <f t="shared" si="232"/>
        <v>-77.177662024503903</v>
      </c>
      <c r="AE219" t="str">
        <f t="shared" si="233"/>
        <v>21,0353732052265</v>
      </c>
      <c r="AF219" t="str">
        <f t="shared" si="215"/>
        <v>1+3,47195132678067i</v>
      </c>
      <c r="AG219">
        <f t="shared" si="234"/>
        <v>3.6130936903897264</v>
      </c>
      <c r="AH219">
        <f t="shared" si="235"/>
        <v>1.2903639888048573</v>
      </c>
      <c r="AI219" t="str">
        <f t="shared" si="216"/>
        <v>1+0,192886184821148i</v>
      </c>
      <c r="AJ219">
        <f t="shared" si="236"/>
        <v>1.0184326586941612</v>
      </c>
      <c r="AK219">
        <f t="shared" si="237"/>
        <v>0.19054608955867008</v>
      </c>
      <c r="AL219" t="str">
        <f t="shared" si="217"/>
        <v>1-0,0131242425345551i</v>
      </c>
      <c r="AM219">
        <f t="shared" si="238"/>
        <v>1.0000861191627979</v>
      </c>
      <c r="AN219">
        <f t="shared" si="239"/>
        <v>-1.3123489080789441E-2</v>
      </c>
      <c r="AO219" s="58" t="str">
        <f t="shared" si="240"/>
        <v>2,6211238825378-5,31905499753875i</v>
      </c>
      <c r="AP219">
        <f t="shared" si="241"/>
        <v>15.460814307754301</v>
      </c>
      <c r="AQ219" s="60">
        <f t="shared" si="242"/>
        <v>-63.766844396566221</v>
      </c>
      <c r="AR219" t="str">
        <f t="shared" si="218"/>
        <v>-1,05811623246493</v>
      </c>
      <c r="AS219" t="str">
        <f t="shared" si="219"/>
        <v>1+0,190108623759724i</v>
      </c>
      <c r="AT219">
        <f t="shared" si="243"/>
        <v>1.0179102557828055</v>
      </c>
      <c r="AU219">
        <f t="shared" si="244"/>
        <v>0.18786678349423866</v>
      </c>
      <c r="AV219" t="str">
        <f t="shared" si="220"/>
        <v>1+0,190108623759724i</v>
      </c>
      <c r="AW219">
        <f t="shared" si="245"/>
        <v>1.0179102557828055</v>
      </c>
      <c r="AX219">
        <f t="shared" si="246"/>
        <v>0.18786678349423866</v>
      </c>
      <c r="AY219" t="str">
        <f t="shared" si="221"/>
        <v>1-0,133894743705668i</v>
      </c>
      <c r="AZ219">
        <f t="shared" si="247"/>
        <v>1.00892408157998</v>
      </c>
      <c r="BA219">
        <f t="shared" si="248"/>
        <v>-0.13310309575240517</v>
      </c>
      <c r="BB219" s="58" t="str">
        <f t="shared" si="249"/>
        <v>-0,995214046431865+0,330874974470207i</v>
      </c>
      <c r="BC219">
        <f t="shared" si="250"/>
        <v>0.41364750022577745</v>
      </c>
      <c r="BD219" s="60">
        <f t="shared" si="251"/>
        <v>161.60978056834361</v>
      </c>
      <c r="BE219" s="58" t="str">
        <f t="shared" si="252"/>
        <v>0,202658401894131+2,07886914449252i</v>
      </c>
      <c r="BF219" s="37">
        <f t="shared" si="253"/>
        <v>6.3976205408955389</v>
      </c>
      <c r="BG219" s="60">
        <f t="shared" si="254"/>
        <v>84.432118543839721</v>
      </c>
      <c r="BH219" s="58" t="str">
        <f t="shared" si="255"/>
        <v>-0,848637118823384+6,16086254501212i</v>
      </c>
      <c r="BI219" s="37">
        <f t="shared" si="256"/>
        <v>15.874461807980083</v>
      </c>
      <c r="BJ219" s="60">
        <f t="shared" si="257"/>
        <v>97.842936171777396</v>
      </c>
      <c r="BK219">
        <f t="shared" si="258"/>
        <v>6.3976205408955389</v>
      </c>
      <c r="BL219" s="60">
        <f t="shared" si="259"/>
        <v>84.432118543839721</v>
      </c>
      <c r="BN219">
        <f t="shared" si="260"/>
        <v>0</v>
      </c>
      <c r="BO219">
        <f t="shared" si="261"/>
        <v>0</v>
      </c>
    </row>
    <row r="220" spans="13:67" x14ac:dyDescent="0.25">
      <c r="M220" s="66">
        <v>2</v>
      </c>
      <c r="N220" s="36">
        <f t="shared" ref="N220:N283" si="262">10^(3+(M220/100))</f>
        <v>1047.1285480509</v>
      </c>
      <c r="O220" s="91" t="str">
        <f t="shared" si="210"/>
        <v>13,7404580152672</v>
      </c>
      <c r="P220" s="67" t="str">
        <f t="shared" si="211"/>
        <v>1+7,10564692446905i</v>
      </c>
      <c r="Q220" s="67">
        <f t="shared" si="222"/>
        <v>7.1756684855988491</v>
      </c>
      <c r="R220" s="67">
        <f t="shared" si="223"/>
        <v>1.430981411599227</v>
      </c>
      <c r="S220" s="67" t="str">
        <f t="shared" si="212"/>
        <v>1+0,197379081235251i</v>
      </c>
      <c r="T220" s="67">
        <f t="shared" si="224"/>
        <v>1.0192931382626256</v>
      </c>
      <c r="U220" s="67">
        <f t="shared" si="225"/>
        <v>0.19487418016047944</v>
      </c>
      <c r="V220" t="str">
        <f t="shared" si="213"/>
        <v>1-0,0411206419240107i</v>
      </c>
      <c r="W220" s="67">
        <f t="shared" si="226"/>
        <v>1.0008450965020723</v>
      </c>
      <c r="X220" s="67">
        <f t="shared" si="227"/>
        <v>-4.1097488346745738E-2</v>
      </c>
      <c r="Y220" t="str">
        <f t="shared" si="214"/>
        <v>0,999929825395447+0,0713511148621409i</v>
      </c>
      <c r="Z220" s="67">
        <f t="shared" si="228"/>
        <v>1.0024722626125071</v>
      </c>
      <c r="AA220" s="67">
        <f t="shared" si="229"/>
        <v>7.1235382997849206E-2</v>
      </c>
      <c r="AB220" s="92" t="str">
        <f t="shared" si="230"/>
        <v>0,429731378039022-1,90066918033134i</v>
      </c>
      <c r="AC220" s="37">
        <f t="shared" si="231"/>
        <v>5.7946488930988549</v>
      </c>
      <c r="AD220" s="60">
        <f t="shared" si="232"/>
        <v>-77.259926815672443</v>
      </c>
      <c r="AE220" t="str">
        <f t="shared" si="233"/>
        <v>21,0353732052265</v>
      </c>
      <c r="AF220" t="str">
        <f t="shared" si="215"/>
        <v>1+3,55282346223453i</v>
      </c>
      <c r="AG220">
        <f t="shared" si="234"/>
        <v>3.6908744971624481</v>
      </c>
      <c r="AH220">
        <f t="shared" si="235"/>
        <v>1.2964284618741411</v>
      </c>
      <c r="AI220" t="str">
        <f t="shared" si="216"/>
        <v>1+0,197379081235251i</v>
      </c>
      <c r="AJ220">
        <f t="shared" si="236"/>
        <v>1.0192931382626256</v>
      </c>
      <c r="AK220">
        <f t="shared" si="237"/>
        <v>0.19487418016047944</v>
      </c>
      <c r="AL220" t="str">
        <f t="shared" si="217"/>
        <v>1-0,0134299454146032i</v>
      </c>
      <c r="AM220">
        <f t="shared" si="238"/>
        <v>1.0000901776509152</v>
      </c>
      <c r="AN220">
        <f t="shared" si="239"/>
        <v>-1.3429138078279352E-2</v>
      </c>
      <c r="AO220" s="58" t="str">
        <f t="shared" si="240"/>
        <v>2,55741800192649-5,21661595721917i</v>
      </c>
      <c r="AP220">
        <f t="shared" si="241"/>
        <v>15.28318412389595</v>
      </c>
      <c r="AQ220" s="60">
        <f t="shared" si="242"/>
        <v>-63.88384418114159</v>
      </c>
      <c r="AR220" t="str">
        <f t="shared" si="218"/>
        <v>-1,05811623246493</v>
      </c>
      <c r="AS220" t="str">
        <f t="shared" si="219"/>
        <v>1+0,194536822465464i</v>
      </c>
      <c r="AT220">
        <f t="shared" si="243"/>
        <v>1.0187465706911407</v>
      </c>
      <c r="AU220">
        <f t="shared" si="244"/>
        <v>0.19213702827627954</v>
      </c>
      <c r="AV220" t="str">
        <f t="shared" si="220"/>
        <v>1+0,194536822465464i</v>
      </c>
      <c r="AW220">
        <f t="shared" si="245"/>
        <v>1.0187465706911407</v>
      </c>
      <c r="AX220">
        <f t="shared" si="246"/>
        <v>0.19213702827627954</v>
      </c>
      <c r="AY220" t="str">
        <f t="shared" si="221"/>
        <v>1-0,130846927239517i</v>
      </c>
      <c r="AZ220">
        <f t="shared" si="247"/>
        <v>1.0085241287981281</v>
      </c>
      <c r="BA220">
        <f t="shared" si="248"/>
        <v>-0.13010776573191321</v>
      </c>
      <c r="BB220" s="58" t="str">
        <f t="shared" si="249"/>
        <v>-0,993580724200821+0,331739294629253i</v>
      </c>
      <c r="BC220">
        <f t="shared" si="250"/>
        <v>0.40307020382691305</v>
      </c>
      <c r="BD220" s="60">
        <f t="shared" si="251"/>
        <v>161.53673333326793</v>
      </c>
      <c r="BE220" s="58" t="str">
        <f t="shared" si="252"/>
        <v>0,203553839402851+2,03102704489052i</v>
      </c>
      <c r="BF220" s="37">
        <f t="shared" si="253"/>
        <v>6.1977190969257858</v>
      </c>
      <c r="BG220" s="60">
        <f t="shared" si="254"/>
        <v>84.276806517595531</v>
      </c>
      <c r="BH220" s="58" t="str">
        <f t="shared" si="255"/>
        <v>-0,810444732438745+6,03152510468263i</v>
      </c>
      <c r="BI220" s="37">
        <f t="shared" si="256"/>
        <v>15.686254327722862</v>
      </c>
      <c r="BJ220" s="60">
        <f t="shared" si="257"/>
        <v>97.652889152126363</v>
      </c>
      <c r="BK220">
        <f t="shared" si="258"/>
        <v>6.1977190969257858</v>
      </c>
      <c r="BL220" s="60">
        <f t="shared" si="259"/>
        <v>84.276806517595531</v>
      </c>
      <c r="BN220">
        <f t="shared" si="260"/>
        <v>0</v>
      </c>
      <c r="BO220">
        <f t="shared" si="261"/>
        <v>0</v>
      </c>
    </row>
    <row r="221" spans="13:67" x14ac:dyDescent="0.25">
      <c r="M221" s="66">
        <v>3</v>
      </c>
      <c r="N221" s="36">
        <f t="shared" si="262"/>
        <v>1071.5193052376069</v>
      </c>
      <c r="O221" s="91" t="str">
        <f t="shared" si="210"/>
        <v>13,7404580152672</v>
      </c>
      <c r="P221" s="67" t="str">
        <f t="shared" si="211"/>
        <v>1+7,27115870343047i</v>
      </c>
      <c r="Q221" s="67">
        <f t="shared" si="222"/>
        <v>7.339601412234364</v>
      </c>
      <c r="R221" s="67">
        <f t="shared" si="223"/>
        <v>1.4341240526539303</v>
      </c>
      <c r="S221" s="67" t="str">
        <f t="shared" si="212"/>
        <v>1+0,201976630650847i</v>
      </c>
      <c r="T221" s="67">
        <f t="shared" si="224"/>
        <v>1.0201933931020475</v>
      </c>
      <c r="U221" s="67">
        <f t="shared" si="225"/>
        <v>0.1992954417726002</v>
      </c>
      <c r="V221" t="str">
        <f t="shared" si="213"/>
        <v>1-0,0420784647189263i</v>
      </c>
      <c r="W221" s="67">
        <f t="shared" si="226"/>
        <v>1.0008849070662931</v>
      </c>
      <c r="X221" s="67">
        <f t="shared" si="227"/>
        <v>-4.2053656398416496E-2</v>
      </c>
      <c r="Y221" t="str">
        <f t="shared" si="214"/>
        <v>0,999926518168224+0,0730130958298479i</v>
      </c>
      <c r="Z221" s="67">
        <f t="shared" si="228"/>
        <v>1.002588626455879</v>
      </c>
      <c r="AA221" s="67">
        <f t="shared" si="229"/>
        <v>7.2889104185724446E-2</v>
      </c>
      <c r="AB221" s="92" t="str">
        <f t="shared" si="230"/>
        <v>0,41799598942172-1,86027440320311i</v>
      </c>
      <c r="AC221" s="37">
        <f t="shared" si="231"/>
        <v>5.6054521454445885</v>
      </c>
      <c r="AD221" s="60">
        <f t="shared" si="232"/>
        <v>-77.336202892556386</v>
      </c>
      <c r="AE221" t="str">
        <f t="shared" si="233"/>
        <v>21,0353732052265</v>
      </c>
      <c r="AF221" t="str">
        <f t="shared" si="215"/>
        <v>1+3,63557935171524i</v>
      </c>
      <c r="AG221">
        <f t="shared" si="234"/>
        <v>3.7706017056456922</v>
      </c>
      <c r="AH221">
        <f t="shared" si="235"/>
        <v>1.302374963376103</v>
      </c>
      <c r="AI221" t="str">
        <f t="shared" si="216"/>
        <v>1+0,201976630650847i</v>
      </c>
      <c r="AJ221">
        <f t="shared" si="236"/>
        <v>1.0201933931020475</v>
      </c>
      <c r="AK221">
        <f t="shared" si="237"/>
        <v>0.1992954417726002</v>
      </c>
      <c r="AL221" t="str">
        <f t="shared" si="217"/>
        <v>1-0,0137427690294765i</v>
      </c>
      <c r="AM221">
        <f t="shared" si="238"/>
        <v>1.0000944273920327</v>
      </c>
      <c r="AN221">
        <f t="shared" si="239"/>
        <v>-1.374190395743102E-2</v>
      </c>
      <c r="AO221" s="58" t="str">
        <f t="shared" si="240"/>
        <v>2,49616651292427-5,11544190376401i</v>
      </c>
      <c r="AP221">
        <f t="shared" si="241"/>
        <v>15.105261519135126</v>
      </c>
      <c r="AQ221" s="60">
        <f t="shared" si="242"/>
        <v>-63.989154154425528</v>
      </c>
      <c r="AR221" t="str">
        <f t="shared" si="218"/>
        <v>-1,05811623246493</v>
      </c>
      <c r="AS221" t="str">
        <f t="shared" si="219"/>
        <v>1+0,199068167169474i</v>
      </c>
      <c r="AT221">
        <f t="shared" si="243"/>
        <v>1.0196215646896714</v>
      </c>
      <c r="AU221">
        <f t="shared" si="244"/>
        <v>0.19649940639399671</v>
      </c>
      <c r="AV221" t="str">
        <f t="shared" si="220"/>
        <v>1+0,199068167169474i</v>
      </c>
      <c r="AW221">
        <f t="shared" si="245"/>
        <v>1.0196215646896714</v>
      </c>
      <c r="AX221">
        <f t="shared" si="246"/>
        <v>0.19649940639399671</v>
      </c>
      <c r="AY221" t="str">
        <f t="shared" si="221"/>
        <v>1-0,127868487546153i</v>
      </c>
      <c r="AZ221">
        <f t="shared" si="247"/>
        <v>1.0081420287376877</v>
      </c>
      <c r="BA221">
        <f t="shared" si="248"/>
        <v>-0.12717834724117705</v>
      </c>
      <c r="BB221" s="58" t="str">
        <f t="shared" si="249"/>
        <v>-0,991876162095892+0,332750691940845i</v>
      </c>
      <c r="BC221">
        <f t="shared" si="250"/>
        <v>0.39232170744255551</v>
      </c>
      <c r="BD221" s="60">
        <f t="shared" si="251"/>
        <v>161.45463079442933</v>
      </c>
      <c r="BE221" s="58" t="str">
        <f t="shared" si="252"/>
        <v>0,204407337106587+1,9842502902029i</v>
      </c>
      <c r="BF221" s="37">
        <f t="shared" si="253"/>
        <v>5.9977738528871347</v>
      </c>
      <c r="BG221" s="60">
        <f t="shared" si="254"/>
        <v>84.118427901872948</v>
      </c>
      <c r="BH221" s="58" t="str">
        <f t="shared" si="255"/>
        <v>-0,773721227730943+5,90448601730507i</v>
      </c>
      <c r="BI221" s="37">
        <f t="shared" si="256"/>
        <v>15.497583226577687</v>
      </c>
      <c r="BJ221" s="60">
        <f t="shared" si="257"/>
        <v>97.465476640003814</v>
      </c>
      <c r="BK221">
        <f t="shared" si="258"/>
        <v>5.9977738528871347</v>
      </c>
      <c r="BL221" s="60">
        <f t="shared" si="259"/>
        <v>84.118427901872948</v>
      </c>
      <c r="BN221">
        <f t="shared" si="260"/>
        <v>0</v>
      </c>
      <c r="BO221">
        <f t="shared" si="261"/>
        <v>0</v>
      </c>
    </row>
    <row r="222" spans="13:67" x14ac:dyDescent="0.25">
      <c r="M222" s="66">
        <v>4</v>
      </c>
      <c r="N222" s="36">
        <f t="shared" si="262"/>
        <v>1096.4781961431863</v>
      </c>
      <c r="O222" s="91" t="str">
        <f t="shared" si="210"/>
        <v>13,7404580152672</v>
      </c>
      <c r="P222" s="67" t="str">
        <f t="shared" si="211"/>
        <v>1+7,44052574698161i</v>
      </c>
      <c r="Q222" s="67">
        <f t="shared" si="222"/>
        <v>7.5074245511690796</v>
      </c>
      <c r="R222" s="67">
        <f t="shared" si="223"/>
        <v>1.4371977856457072</v>
      </c>
      <c r="S222" s="67" t="str">
        <f t="shared" si="212"/>
        <v>1+0,206681270749489i</v>
      </c>
      <c r="T222" s="67">
        <f t="shared" si="224"/>
        <v>1.0211352249720032</v>
      </c>
      <c r="U222" s="67">
        <f t="shared" si="225"/>
        <v>0.20381152687807094</v>
      </c>
      <c r="V222" t="str">
        <f t="shared" si="213"/>
        <v>1-0,0430585980728103i</v>
      </c>
      <c r="W222" s="67">
        <f t="shared" si="226"/>
        <v>1.0009265921474941</v>
      </c>
      <c r="X222" s="67">
        <f t="shared" si="227"/>
        <v>-4.3032016807346488E-2</v>
      </c>
      <c r="Y222" t="str">
        <f t="shared" si="214"/>
        <v>0,999923055076185+0,0747137893074065i</v>
      </c>
      <c r="Z222" s="67">
        <f t="shared" si="228"/>
        <v>1.0027104598963563</v>
      </c>
      <c r="AA222" s="67">
        <f t="shared" si="229"/>
        <v>7.4580949251961806E-2</v>
      </c>
      <c r="AB222" s="92" t="str">
        <f t="shared" si="230"/>
        <v>0,406761309439346-1,82072372556165i</v>
      </c>
      <c r="AC222" s="37">
        <f t="shared" si="231"/>
        <v>5.4164034633925002</v>
      </c>
      <c r="AD222" s="60">
        <f t="shared" si="232"/>
        <v>-77.406553708029747</v>
      </c>
      <c r="AE222" t="str">
        <f t="shared" si="233"/>
        <v>21,0353732052265</v>
      </c>
      <c r="AF222" t="str">
        <f t="shared" si="215"/>
        <v>1+3,72026287349081i</v>
      </c>
      <c r="AG222">
        <f t="shared" si="234"/>
        <v>3.8523182433275291</v>
      </c>
      <c r="AH222">
        <f t="shared" si="235"/>
        <v>1.3082049633675552</v>
      </c>
      <c r="AI222" t="str">
        <f t="shared" si="216"/>
        <v>1+0,206681270749489i</v>
      </c>
      <c r="AJ222">
        <f t="shared" si="236"/>
        <v>1.0211352249720032</v>
      </c>
      <c r="AK222">
        <f t="shared" si="237"/>
        <v>0.20381152687807094</v>
      </c>
      <c r="AL222" t="str">
        <f t="shared" si="217"/>
        <v>1-0,0140628792423963i</v>
      </c>
      <c r="AM222">
        <f t="shared" si="238"/>
        <v>1.0000988773979231</v>
      </c>
      <c r="AN222">
        <f t="shared" si="239"/>
        <v>-1.4061952305948693E-2</v>
      </c>
      <c r="AO222" s="58" t="str">
        <f t="shared" si="240"/>
        <v>2,43729151677322-5,01556539018338i</v>
      </c>
      <c r="AP222">
        <f t="shared" si="241"/>
        <v>14.927085236411466</v>
      </c>
      <c r="AQ222" s="60">
        <f t="shared" si="242"/>
        <v>-64.082773351641848</v>
      </c>
      <c r="AR222" t="str">
        <f t="shared" si="218"/>
        <v>-1,05811623246493</v>
      </c>
      <c r="AS222" t="str">
        <f t="shared" si="219"/>
        <v>1+0,203705060450697i</v>
      </c>
      <c r="AT222">
        <f t="shared" si="243"/>
        <v>1.0205369918103029</v>
      </c>
      <c r="AU222">
        <f t="shared" si="244"/>
        <v>0.2009555663792997</v>
      </c>
      <c r="AV222" t="str">
        <f t="shared" si="220"/>
        <v>1+0,203705060450697i</v>
      </c>
      <c r="AW222">
        <f t="shared" si="245"/>
        <v>1.0205369918103029</v>
      </c>
      <c r="AX222">
        <f t="shared" si="246"/>
        <v>0.2009555663792997</v>
      </c>
      <c r="AY222" t="str">
        <f t="shared" si="221"/>
        <v>1-0,124957845417425i</v>
      </c>
      <c r="AZ222">
        <f t="shared" si="247"/>
        <v>1.0077769907729413</v>
      </c>
      <c r="BA222">
        <f t="shared" si="248"/>
        <v>-0.12431348828090473</v>
      </c>
      <c r="BB222" s="58" t="str">
        <f t="shared" si="249"/>
        <v>-0,990097523770604+0,333907800541797i</v>
      </c>
      <c r="BC222">
        <f t="shared" si="250"/>
        <v>0.3813812798964541</v>
      </c>
      <c r="BD222" s="60">
        <f t="shared" si="251"/>
        <v>161.3634559617602</v>
      </c>
      <c r="BE222" s="58" t="str">
        <f t="shared" si="252"/>
        <v>0,205220489354972+1,93851482632937i</v>
      </c>
      <c r="BF222" s="37">
        <f t="shared" si="253"/>
        <v>5.7977847432889451</v>
      </c>
      <c r="BG222" s="60">
        <f t="shared" si="254"/>
        <v>83.956902253730462</v>
      </c>
      <c r="BH222" s="58" t="str">
        <f t="shared" si="255"/>
        <v>-0,738419887554572+5,77972952277503i</v>
      </c>
      <c r="BI222" s="37">
        <f t="shared" si="256"/>
        <v>15.308466516307913</v>
      </c>
      <c r="BJ222" s="60">
        <f t="shared" si="257"/>
        <v>97.280682610118362</v>
      </c>
      <c r="BK222">
        <f t="shared" si="258"/>
        <v>5.7977847432889451</v>
      </c>
      <c r="BL222" s="60">
        <f t="shared" si="259"/>
        <v>83.956902253730462</v>
      </c>
      <c r="BN222">
        <f t="shared" si="260"/>
        <v>0</v>
      </c>
      <c r="BO222">
        <f t="shared" si="261"/>
        <v>0</v>
      </c>
    </row>
    <row r="223" spans="13:67" x14ac:dyDescent="0.25">
      <c r="M223" s="66">
        <v>5</v>
      </c>
      <c r="N223" s="36">
        <f t="shared" si="262"/>
        <v>1122.0184543019636</v>
      </c>
      <c r="O223" s="91" t="str">
        <f t="shared" si="210"/>
        <v>13,7404580152672</v>
      </c>
      <c r="P223" s="67" t="str">
        <f t="shared" si="211"/>
        <v>1+7,61383785577081i</v>
      </c>
      <c r="Q223" s="67">
        <f t="shared" si="222"/>
        <v>7.6792269724216817</v>
      </c>
      <c r="R223" s="67">
        <f t="shared" si="223"/>
        <v>1.4402040078650267</v>
      </c>
      <c r="S223" s="67" t="str">
        <f t="shared" si="212"/>
        <v>1+0,211495495993634i</v>
      </c>
      <c r="T223" s="67">
        <f t="shared" si="224"/>
        <v>1.0221205138463827</v>
      </c>
      <c r="U223" s="67">
        <f t="shared" si="225"/>
        <v>0.20842409277154059</v>
      </c>
      <c r="V223" t="str">
        <f t="shared" si="213"/>
        <v>1-0,0440615616653403i</v>
      </c>
      <c r="W223" s="67">
        <f t="shared" si="226"/>
        <v>1.0009702399254379</v>
      </c>
      <c r="X223" s="67">
        <f t="shared" si="227"/>
        <v>-4.4033080817099002E-2</v>
      </c>
      <c r="Y223" t="str">
        <f t="shared" si="214"/>
        <v>0,999919428773645+0,0764540970250098i</v>
      </c>
      <c r="Z223" s="67">
        <f t="shared" si="228"/>
        <v>1.0028380193186346</v>
      </c>
      <c r="AA223" s="67">
        <f t="shared" si="229"/>
        <v>7.6311778083602816E-2</v>
      </c>
      <c r="AB223" s="92" t="str">
        <f t="shared" si="230"/>
        <v>0,396006042455276-1,78200525368262i</v>
      </c>
      <c r="AC223" s="37">
        <f t="shared" si="231"/>
        <v>5.2275237019429763</v>
      </c>
      <c r="AD223" s="60">
        <f t="shared" si="232"/>
        <v>-77.471042924947284</v>
      </c>
      <c r="AE223" t="str">
        <f t="shared" si="233"/>
        <v>21,0353732052265</v>
      </c>
      <c r="AF223" t="str">
        <f t="shared" si="215"/>
        <v>1+3,80691892788541i</v>
      </c>
      <c r="AG223">
        <f t="shared" si="234"/>
        <v>3.9360680537170851</v>
      </c>
      <c r="AH223">
        <f t="shared" si="235"/>
        <v>1.3139199671082533</v>
      </c>
      <c r="AI223" t="str">
        <f t="shared" si="216"/>
        <v>1+0,211495495993634i</v>
      </c>
      <c r="AJ223">
        <f t="shared" si="236"/>
        <v>1.0221205138463827</v>
      </c>
      <c r="AK223">
        <f t="shared" si="237"/>
        <v>0.20842409277154059</v>
      </c>
      <c r="AL223" t="str">
        <f t="shared" si="217"/>
        <v>1-0,0143904457800346i</v>
      </c>
      <c r="AM223">
        <f t="shared" si="238"/>
        <v>1.0001035371049081</v>
      </c>
      <c r="AN223">
        <f t="shared" si="239"/>
        <v>-1.4389452555289671E-2</v>
      </c>
      <c r="AO223" s="58" t="str">
        <f t="shared" si="240"/>
        <v>2,38071619747613-4,9170152622173i</v>
      </c>
      <c r="AP223">
        <f t="shared" si="241"/>
        <v>14.748693815812331</v>
      </c>
      <c r="AQ223" s="60">
        <f t="shared" si="242"/>
        <v>-64.164702769540355</v>
      </c>
      <c r="AR223" t="str">
        <f t="shared" si="218"/>
        <v>-1,05811623246493</v>
      </c>
      <c r="AS223" t="str">
        <f t="shared" si="219"/>
        <v>1+0,208449960851325i</v>
      </c>
      <c r="AT223">
        <f t="shared" si="243"/>
        <v>1.0214946824036428</v>
      </c>
      <c r="AU223">
        <f t="shared" si="244"/>
        <v>0.20550716271019875</v>
      </c>
      <c r="AV223" t="str">
        <f t="shared" si="220"/>
        <v>1+0,208449960851325i</v>
      </c>
      <c r="AW223">
        <f t="shared" si="245"/>
        <v>1.0214946824036428</v>
      </c>
      <c r="AX223">
        <f t="shared" si="246"/>
        <v>0.20550716271019875</v>
      </c>
      <c r="AY223" t="str">
        <f t="shared" si="221"/>
        <v>1-0,122113457592351i</v>
      </c>
      <c r="AZ223">
        <f t="shared" si="247"/>
        <v>1.0074282587485617</v>
      </c>
      <c r="BA223">
        <f t="shared" si="248"/>
        <v>-0.12151185807003057</v>
      </c>
      <c r="BB223" s="58" t="str">
        <f t="shared" si="249"/>
        <v>-0,988241884948384+0,335209213910014i</v>
      </c>
      <c r="BC223">
        <f t="shared" si="250"/>
        <v>0.37022791125237425</v>
      </c>
      <c r="BD223" s="60">
        <f t="shared" si="251"/>
        <v>161.26319028879195</v>
      </c>
      <c r="BE223" s="58" t="str">
        <f t="shared" si="252"/>
        <v>0,205994822423514+1,89379710508228i</v>
      </c>
      <c r="BF223" s="37">
        <f t="shared" si="253"/>
        <v>5.5977516131953298</v>
      </c>
      <c r="BG223" s="60">
        <f t="shared" si="254"/>
        <v>83.792147363844649</v>
      </c>
      <c r="BH223" s="58" t="str">
        <f t="shared" si="255"/>
        <v>-0,704494641689558+5,65723843615241i</v>
      </c>
      <c r="BI223" s="37">
        <f t="shared" si="256"/>
        <v>15.118921727064706</v>
      </c>
      <c r="BJ223" s="60">
        <f t="shared" si="257"/>
        <v>97.098487519251563</v>
      </c>
      <c r="BK223">
        <f t="shared" si="258"/>
        <v>5.5977516131953298</v>
      </c>
      <c r="BL223" s="60">
        <f t="shared" si="259"/>
        <v>83.792147363844649</v>
      </c>
      <c r="BN223">
        <f t="shared" si="260"/>
        <v>0</v>
      </c>
      <c r="BO223">
        <f t="shared" si="261"/>
        <v>0</v>
      </c>
    </row>
    <row r="224" spans="13:67" x14ac:dyDescent="0.25">
      <c r="M224" s="66">
        <v>6</v>
      </c>
      <c r="N224" s="36">
        <f t="shared" si="262"/>
        <v>1148.1536214968839</v>
      </c>
      <c r="O224" s="91" t="str">
        <f t="shared" si="210"/>
        <v>13,7404580152672</v>
      </c>
      <c r="P224" s="67" t="str">
        <f t="shared" si="211"/>
        <v>1+7,79118692217219i</v>
      </c>
      <c r="Q224" s="67">
        <f t="shared" si="222"/>
        <v>7.8550998501754874</v>
      </c>
      <c r="R224" s="67">
        <f t="shared" si="223"/>
        <v>1.4431440957888757</v>
      </c>
      <c r="S224" s="67" t="str">
        <f t="shared" si="212"/>
        <v>1+0,216421858949228i</v>
      </c>
      <c r="T224" s="67">
        <f t="shared" si="224"/>
        <v>1.0231512209986555</v>
      </c>
      <c r="U224" s="67">
        <f t="shared" si="225"/>
        <v>0.21313479964213777</v>
      </c>
      <c r="V224" t="str">
        <f t="shared" si="213"/>
        <v>1-0,0450878872810891i</v>
      </c>
      <c r="W224" s="67">
        <f t="shared" si="226"/>
        <v>1.001015942719931</v>
      </c>
      <c r="X224" s="67">
        <f t="shared" si="227"/>
        <v>-4.5057371174929021E-2</v>
      </c>
      <c r="Y224" t="str">
        <f t="shared" si="214"/>
        <v>0,999915631568732+0,0782349417168454i</v>
      </c>
      <c r="Z224" s="67">
        <f t="shared" si="228"/>
        <v>1.0029715730572497</v>
      </c>
      <c r="AA224" s="67">
        <f t="shared" si="229"/>
        <v>7.8082468610049638E-2</v>
      </c>
      <c r="AB224" s="92" t="str">
        <f t="shared" si="230"/>
        <v>0,385709695452284-1,74410695838525i</v>
      </c>
      <c r="AC224" s="37">
        <f t="shared" si="231"/>
        <v>5.0388339318858879</v>
      </c>
      <c r="AD224" s="60">
        <f t="shared" si="232"/>
        <v>-77.529734540661465</v>
      </c>
      <c r="AE224" t="str">
        <f t="shared" si="233"/>
        <v>21,0353732052265</v>
      </c>
      <c r="AF224" t="str">
        <f t="shared" si="215"/>
        <v>1+3,8955934610861i</v>
      </c>
      <c r="AG224">
        <f t="shared" si="234"/>
        <v>4.0218961217386981</v>
      </c>
      <c r="AH224">
        <f t="shared" si="235"/>
        <v>1.3195215108808445</v>
      </c>
      <c r="AI224" t="str">
        <f t="shared" si="216"/>
        <v>1+0,216421858949228i</v>
      </c>
      <c r="AJ224">
        <f t="shared" si="236"/>
        <v>1.0231512209986555</v>
      </c>
      <c r="AK224">
        <f t="shared" si="237"/>
        <v>0.21313479964213777</v>
      </c>
      <c r="AL224" t="str">
        <f t="shared" si="217"/>
        <v>1-0,0147256423225056i</v>
      </c>
      <c r="AM224">
        <f t="shared" si="238"/>
        <v>1.0001084163938478</v>
      </c>
      <c r="AN224">
        <f t="shared" si="239"/>
        <v>-1.4724578069247912E-2</v>
      </c>
      <c r="AO224" s="58" t="str">
        <f t="shared" si="240"/>
        <v>2,32636493583528-4,81981684131458i</v>
      </c>
      <c r="AP224">
        <f t="shared" si="241"/>
        <v>14.570125623314587</v>
      </c>
      <c r="AQ224" s="60">
        <f t="shared" si="242"/>
        <v>-64.234945241815993</v>
      </c>
      <c r="AR224" t="str">
        <f t="shared" si="218"/>
        <v>-1,05811623246493</v>
      </c>
      <c r="AS224" t="str">
        <f t="shared" si="219"/>
        <v>1+0,213305384180359i</v>
      </c>
      <c r="AT224">
        <f t="shared" si="243"/>
        <v>1.0224965461654776</v>
      </c>
      <c r="AU224">
        <f t="shared" si="244"/>
        <v>0.21015585398370837</v>
      </c>
      <c r="AV224" t="str">
        <f t="shared" si="220"/>
        <v>1+0,213305384180359i</v>
      </c>
      <c r="AW224">
        <f t="shared" si="245"/>
        <v>1.0224965461654776</v>
      </c>
      <c r="AX224">
        <f t="shared" si="246"/>
        <v>0.21015585398370837</v>
      </c>
      <c r="AY224" t="str">
        <f t="shared" si="221"/>
        <v>1-0,119333815938854i</v>
      </c>
      <c r="AZ224">
        <f t="shared" si="247"/>
        <v>1.0070951095236875</v>
      </c>
      <c r="BA224">
        <f t="shared" si="248"/>
        <v>-0.11877214716420748</v>
      </c>
      <c r="BB224" s="58" t="str">
        <f t="shared" si="249"/>
        <v>-0,986306233070306+0,336653477691428i</v>
      </c>
      <c r="BC224">
        <f t="shared" si="250"/>
        <v>0.35884028473955443</v>
      </c>
      <c r="BD224" s="60">
        <f t="shared" si="251"/>
        <v>161.15381377055013</v>
      </c>
      <c r="BE224" s="58" t="str">
        <f t="shared" si="252"/>
        <v>0,206731796225976+1,85007407454998i</v>
      </c>
      <c r="BF224" s="37">
        <f t="shared" si="253"/>
        <v>5.397674216625453</v>
      </c>
      <c r="BG224" s="60">
        <f t="shared" si="254"/>
        <v>83.624079229888679</v>
      </c>
      <c r="BH224" s="58" t="str">
        <f t="shared" si="255"/>
        <v>-0,671900135146272+5,53699423887415i</v>
      </c>
      <c r="BI224" s="37">
        <f t="shared" si="256"/>
        <v>14.928965908054145</v>
      </c>
      <c r="BJ224" s="60">
        <f t="shared" si="257"/>
        <v>96.918868528734123</v>
      </c>
      <c r="BK224">
        <f t="shared" si="258"/>
        <v>5.397674216625453</v>
      </c>
      <c r="BL224" s="60">
        <f t="shared" si="259"/>
        <v>83.624079229888679</v>
      </c>
      <c r="BN224">
        <f t="shared" si="260"/>
        <v>0</v>
      </c>
      <c r="BO224">
        <f t="shared" si="261"/>
        <v>0</v>
      </c>
    </row>
    <row r="225" spans="13:67" x14ac:dyDescent="0.25">
      <c r="M225" s="66">
        <v>7</v>
      </c>
      <c r="N225" s="36">
        <f t="shared" si="262"/>
        <v>1174.8975549395295</v>
      </c>
      <c r="O225" s="91" t="str">
        <f t="shared" si="210"/>
        <v>13,7404580152672</v>
      </c>
      <c r="P225" s="67" t="str">
        <f t="shared" si="211"/>
        <v>1+7,97266697900825i</v>
      </c>
      <c r="Q225" s="67">
        <f t="shared" si="222"/>
        <v>8.0351365114830831</v>
      </c>
      <c r="R225" s="67">
        <f t="shared" si="223"/>
        <v>1.446019404867066</v>
      </c>
      <c r="S225" s="67" t="str">
        <f t="shared" si="212"/>
        <v>1+0,221462971639118i</v>
      </c>
      <c r="T225" s="67">
        <f t="shared" si="224"/>
        <v>1.0242293921808869</v>
      </c>
      <c r="U225" s="67">
        <f t="shared" si="225"/>
        <v>0.2179453085081258</v>
      </c>
      <c r="V225" t="str">
        <f t="shared" si="213"/>
        <v>1-0,0461381190914829i</v>
      </c>
      <c r="W225" s="67">
        <f t="shared" si="226"/>
        <v>1.0010637971844252</v>
      </c>
      <c r="X225" s="67">
        <f t="shared" si="227"/>
        <v>-4.6105422371004311E-2</v>
      </c>
      <c r="Y225" t="str">
        <f t="shared" si="214"/>
        <v>0,999911655407065+0,0800572676103411i</v>
      </c>
      <c r="Z225" s="67">
        <f t="shared" si="228"/>
        <v>1.0031114019470275</v>
      </c>
      <c r="AA225" s="67">
        <f t="shared" si="229"/>
        <v>7.9893917084240026E-2</v>
      </c>
      <c r="AB225" s="92" t="str">
        <f t="shared" si="230"/>
        <v>0,375852552581839-1,70701670304675i</v>
      </c>
      <c r="AC225" s="37">
        <f t="shared" si="231"/>
        <v>4.8503554657985823</v>
      </c>
      <c r="AD225" s="60">
        <f t="shared" si="232"/>
        <v>-77.582693022931309</v>
      </c>
      <c r="AE225" t="str">
        <f t="shared" si="233"/>
        <v>21,0353732052265</v>
      </c>
      <c r="AF225" t="str">
        <f t="shared" si="215"/>
        <v>1+3,98633348950413i</v>
      </c>
      <c r="AG225">
        <f t="shared" si="234"/>
        <v>4.1098484995851337</v>
      </c>
      <c r="AH225">
        <f t="shared" si="235"/>
        <v>1.32501115802072</v>
      </c>
      <c r="AI225" t="str">
        <f t="shared" si="216"/>
        <v>1+0,221462971639118i</v>
      </c>
      <c r="AJ225">
        <f t="shared" si="236"/>
        <v>1.0242293921808869</v>
      </c>
      <c r="AK225">
        <f t="shared" si="237"/>
        <v>0.2179453085081258</v>
      </c>
      <c r="AL225" t="str">
        <f t="shared" si="217"/>
        <v>1-0,0150686465954528i</v>
      </c>
      <c r="AM225">
        <f t="shared" si="238"/>
        <v>1.0001135256110771</v>
      </c>
      <c r="AN225">
        <f t="shared" si="239"/>
        <v>-1.5067506234532659E-2</v>
      </c>
      <c r="AO225" s="58" t="str">
        <f t="shared" si="240"/>
        <v>2,27416340954102-4,72399210532395i</v>
      </c>
      <c r="AP225">
        <f t="shared" si="241"/>
        <v>14.391418880617437</v>
      </c>
      <c r="AQ225" s="60">
        <f t="shared" si="242"/>
        <v>-64.293505335162607</v>
      </c>
      <c r="AR225" t="str">
        <f t="shared" si="218"/>
        <v>-1,05811623246493</v>
      </c>
      <c r="AS225" t="str">
        <f t="shared" si="219"/>
        <v>1+0,218273904847515i</v>
      </c>
      <c r="AT225">
        <f t="shared" si="243"/>
        <v>1.0235445752566823</v>
      </c>
      <c r="AU225">
        <f t="shared" si="244"/>
        <v>0.21490330094462692</v>
      </c>
      <c r="AV225" t="str">
        <f t="shared" si="220"/>
        <v>1+0,218273904847515i</v>
      </c>
      <c r="AW225">
        <f t="shared" si="245"/>
        <v>1.0235445752566823</v>
      </c>
      <c r="AX225">
        <f t="shared" si="246"/>
        <v>0.21490330094462692</v>
      </c>
      <c r="AY225" t="str">
        <f t="shared" si="221"/>
        <v>1-0,116617446654138i</v>
      </c>
      <c r="AZ225">
        <f t="shared" si="247"/>
        <v>1.0067768515734412</v>
      </c>
      <c r="BA225">
        <f t="shared" si="248"/>
        <v>-0.11609306753529239</v>
      </c>
      <c r="BB225" s="58" t="str">
        <f t="shared" si="249"/>
        <v>-0,984287467209392+0,33823908225362i</v>
      </c>
      <c r="BC225">
        <f t="shared" si="250"/>
        <v>0.34719674899462083</v>
      </c>
      <c r="BD225" s="60">
        <f t="shared" si="251"/>
        <v>161.03530505194365</v>
      </c>
      <c r="BE225" s="58" t="str">
        <f t="shared" si="252"/>
        <v>0,20743280600517+1,80732316957397i</v>
      </c>
      <c r="BF225" s="37">
        <f t="shared" si="253"/>
        <v>5.197552214793185</v>
      </c>
      <c r="BG225" s="60">
        <f t="shared" si="254"/>
        <v>83.4526120290123</v>
      </c>
      <c r="BH225" s="58" t="str">
        <f t="shared" si="255"/>
        <v>-0,640591788119287+5,41897716900439i</v>
      </c>
      <c r="BI225" s="37">
        <f t="shared" si="256"/>
        <v>14.738615629612053</v>
      </c>
      <c r="BJ225" s="60">
        <f t="shared" si="257"/>
        <v>96.741799716781046</v>
      </c>
      <c r="BK225">
        <f t="shared" si="258"/>
        <v>5.197552214793185</v>
      </c>
      <c r="BL225" s="60">
        <f t="shared" si="259"/>
        <v>83.4526120290123</v>
      </c>
      <c r="BN225">
        <f t="shared" si="260"/>
        <v>0</v>
      </c>
      <c r="BO225">
        <f t="shared" si="261"/>
        <v>0</v>
      </c>
    </row>
    <row r="226" spans="13:67" x14ac:dyDescent="0.25">
      <c r="M226" s="66">
        <v>8</v>
      </c>
      <c r="N226" s="36">
        <f t="shared" si="262"/>
        <v>1202.2644346174138</v>
      </c>
      <c r="O226" s="91" t="str">
        <f t="shared" si="210"/>
        <v>13,7404580152672</v>
      </c>
      <c r="P226" s="67" t="str">
        <f t="shared" si="211"/>
        <v>1+8,15837424940733i</v>
      </c>
      <c r="Q226" s="67">
        <f t="shared" si="222"/>
        <v>8.2194324860900601</v>
      </c>
      <c r="R226" s="67">
        <f t="shared" si="223"/>
        <v>1.4488312693544505</v>
      </c>
      <c r="S226" s="67" t="str">
        <f t="shared" si="212"/>
        <v>1+0,226621506927982i</v>
      </c>
      <c r="T226" s="67">
        <f t="shared" si="224"/>
        <v>1.0253571608967822</v>
      </c>
      <c r="U226" s="67">
        <f t="shared" si="225"/>
        <v>0.22285727899676594</v>
      </c>
      <c r="V226" t="str">
        <f t="shared" si="213"/>
        <v>1-0,0472128139433294i</v>
      </c>
      <c r="W226" s="67">
        <f t="shared" si="226"/>
        <v>1.0011139045085966</v>
      </c>
      <c r="X226" s="67">
        <f t="shared" si="227"/>
        <v>-4.7177780881171402E-2</v>
      </c>
      <c r="Y226" t="str">
        <f t="shared" si="214"/>
        <v>0,999907491854672+0,0819220409268071i</v>
      </c>
      <c r="Z226" s="67">
        <f t="shared" si="228"/>
        <v>1.0032577998982686</v>
      </c>
      <c r="AA226" s="67">
        <f t="shared" si="229"/>
        <v>8.1747038360788046E-2</v>
      </c>
      <c r="AB226" s="92" t="str">
        <f t="shared" si="230"/>
        <v>0,366415649905228-1,67072226961531i</v>
      </c>
      <c r="AC226" s="37">
        <f t="shared" si="231"/>
        <v>4.6621098835078181</v>
      </c>
      <c r="AD226" s="60">
        <f t="shared" si="232"/>
        <v>-77.62998345735889</v>
      </c>
      <c r="AE226" t="str">
        <f t="shared" si="233"/>
        <v>21,0353732052265</v>
      </c>
      <c r="AF226" t="str">
        <f t="shared" si="215"/>
        <v>1+4,07918712470367i</v>
      </c>
      <c r="AG226">
        <f t="shared" si="234"/>
        <v>4.1999723330455643</v>
      </c>
      <c r="AH226">
        <f t="shared" si="235"/>
        <v>1.330390495152723</v>
      </c>
      <c r="AI226" t="str">
        <f t="shared" si="216"/>
        <v>1+0,226621506927982i</v>
      </c>
      <c r="AJ226">
        <f t="shared" si="236"/>
        <v>1.0253571608967822</v>
      </c>
      <c r="AK226">
        <f t="shared" si="237"/>
        <v>0.22285727899676594</v>
      </c>
      <c r="AL226" t="str">
        <f t="shared" si="217"/>
        <v>1-0,0154196404642821i</v>
      </c>
      <c r="AM226">
        <f t="shared" si="238"/>
        <v>1.000118875590321</v>
      </c>
      <c r="AN226">
        <f t="shared" si="239"/>
        <v>-1.5418418553385296E-2</v>
      </c>
      <c r="AO226" s="58" t="str">
        <f t="shared" si="240"/>
        <v>2,22403868015219-4,62955986621543i</v>
      </c>
      <c r="AP226">
        <f t="shared" si="241"/>
        <v>14.212611695871356</v>
      </c>
      <c r="AQ226" s="60">
        <f t="shared" si="242"/>
        <v>-64.340389266161878</v>
      </c>
      <c r="AR226" t="str">
        <f t="shared" si="218"/>
        <v>-1,05811623246493</v>
      </c>
      <c r="AS226" t="str">
        <f t="shared" si="219"/>
        <v>1+0,223358157228219i</v>
      </c>
      <c r="AT226">
        <f t="shared" si="243"/>
        <v>1.0246408475170146</v>
      </c>
      <c r="AU226">
        <f t="shared" si="244"/>
        <v>0.21975116436367423</v>
      </c>
      <c r="AV226" t="str">
        <f t="shared" si="220"/>
        <v>1+0,223358157228219i</v>
      </c>
      <c r="AW226">
        <f t="shared" si="245"/>
        <v>1.0246408475170146</v>
      </c>
      <c r="AX226">
        <f t="shared" si="246"/>
        <v>0.21975116436367423</v>
      </c>
      <c r="AY226" t="str">
        <f t="shared" si="221"/>
        <v>1-0,113962909483252i</v>
      </c>
      <c r="AZ226">
        <f t="shared" si="247"/>
        <v>1.0064728236459681</v>
      </c>
      <c r="BA226">
        <f t="shared" si="248"/>
        <v>-0.11347335261471392</v>
      </c>
      <c r="BB226" s="58" t="str">
        <f t="shared" si="249"/>
        <v>-0,982182398280817+0,339964454965156i</v>
      </c>
      <c r="BC226">
        <f t="shared" si="250"/>
        <v>0.33527529066927342</v>
      </c>
      <c r="BD226" s="60">
        <f t="shared" si="251"/>
        <v>160.90764154685294</v>
      </c>
      <c r="BE226" s="58" t="str">
        <f t="shared" si="252"/>
        <v>0,208099183996376+1,76552230234267i</v>
      </c>
      <c r="BF226" s="37">
        <f t="shared" si="253"/>
        <v>4.9973851741770972</v>
      </c>
      <c r="BG226" s="60">
        <f t="shared" si="254"/>
        <v>83.277658089494054</v>
      </c>
      <c r="BH226" s="58" t="str">
        <f t="shared" si="255"/>
        <v>-0,610525848094692+5,30316631010345i</v>
      </c>
      <c r="BI226" s="37">
        <f t="shared" si="256"/>
        <v>14.547886986540624</v>
      </c>
      <c r="BJ226" s="60">
        <f t="shared" si="257"/>
        <v>96.567252280691079</v>
      </c>
      <c r="BK226">
        <f t="shared" si="258"/>
        <v>4.9973851741770972</v>
      </c>
      <c r="BL226" s="60">
        <f t="shared" si="259"/>
        <v>83.277658089494054</v>
      </c>
      <c r="BN226">
        <f t="shared" si="260"/>
        <v>0</v>
      </c>
      <c r="BO226">
        <f t="shared" si="261"/>
        <v>0</v>
      </c>
    </row>
    <row r="227" spans="13:67" x14ac:dyDescent="0.25">
      <c r="M227" s="66">
        <v>9</v>
      </c>
      <c r="N227" s="36">
        <f t="shared" si="262"/>
        <v>1230.2687708123824</v>
      </c>
      <c r="O227" s="91" t="str">
        <f t="shared" si="210"/>
        <v>13,7404580152672</v>
      </c>
      <c r="P227" s="67" t="str">
        <f t="shared" si="211"/>
        <v>1+8,34840719782227i</v>
      </c>
      <c r="Q227" s="67">
        <f t="shared" si="222"/>
        <v>8.4080855574054851</v>
      </c>
      <c r="R227" s="67">
        <f t="shared" si="223"/>
        <v>1.4515810021857616</v>
      </c>
      <c r="S227" s="67" t="str">
        <f t="shared" si="212"/>
        <v>1+0,231900199939508i</v>
      </c>
      <c r="T227" s="67">
        <f t="shared" si="224"/>
        <v>1.0265367517687731</v>
      </c>
      <c r="U227" s="67">
        <f t="shared" si="225"/>
        <v>0.22787236696286597</v>
      </c>
      <c r="V227" t="str">
        <f t="shared" si="213"/>
        <v>1-0,0483125416540641i</v>
      </c>
      <c r="W227" s="67">
        <f t="shared" si="226"/>
        <v>1.0011663706303142</v>
      </c>
      <c r="X227" s="67">
        <f t="shared" si="227"/>
        <v>-4.8275005413202524E-2</v>
      </c>
      <c r="Y227" t="str">
        <f t="shared" si="214"/>
        <v>0,9999031320801+0,0838302503937388i</v>
      </c>
      <c r="Z227" s="67">
        <f t="shared" si="228"/>
        <v>1.0034110744977207</v>
      </c>
      <c r="AA227" s="67">
        <f t="shared" si="229"/>
        <v>8.3642766170376928E-2</v>
      </c>
      <c r="AB227" s="92" t="str">
        <f t="shared" si="230"/>
        <v>0,357380750387537-1,63521138272514i</v>
      </c>
      <c r="AC227" s="37">
        <f t="shared" si="231"/>
        <v>4.4741190569517233</v>
      </c>
      <c r="AD227" s="60">
        <f t="shared" si="232"/>
        <v>-77.671671706495843</v>
      </c>
      <c r="AE227" t="str">
        <f t="shared" si="233"/>
        <v>21,0353732052265</v>
      </c>
      <c r="AF227" t="str">
        <f t="shared" si="215"/>
        <v>1+4,17420359891114i</v>
      </c>
      <c r="AG227">
        <f t="shared" si="234"/>
        <v>4.292315888324473</v>
      </c>
      <c r="AH227">
        <f t="shared" si="235"/>
        <v>1.3356611286309299</v>
      </c>
      <c r="AI227" t="str">
        <f t="shared" si="216"/>
        <v>1+0,231900199939508i</v>
      </c>
      <c r="AJ227">
        <f t="shared" si="236"/>
        <v>1.0265367517687731</v>
      </c>
      <c r="AK227">
        <f t="shared" si="237"/>
        <v>0.22787236696286597</v>
      </c>
      <c r="AL227" t="str">
        <f t="shared" si="217"/>
        <v>1-0,0157788100305887i</v>
      </c>
      <c r="AM227">
        <f t="shared" si="238"/>
        <v>1.0001244776756448</v>
      </c>
      <c r="AN227">
        <f t="shared" si="239"/>
        <v>-1.5777500738274539E-2</v>
      </c>
      <c r="AO227" s="58" t="str">
        <f t="shared" si="240"/>
        <v>2,17591926780513-4,5365359442459i</v>
      </c>
      <c r="AP227">
        <f t="shared" si="241"/>
        <v>14.033742095113929</v>
      </c>
      <c r="AQ227" s="60">
        <f t="shared" si="242"/>
        <v>-64.375604839171615</v>
      </c>
      <c r="AR227" t="str">
        <f t="shared" si="218"/>
        <v>-1,05811623246493</v>
      </c>
      <c r="AS227" t="str">
        <f t="shared" si="219"/>
        <v>1+0,228560837060379i</v>
      </c>
      <c r="AT227">
        <f t="shared" si="243"/>
        <v>1.0257875297729746</v>
      </c>
      <c r="AU227">
        <f t="shared" si="244"/>
        <v>0.22470110275840821</v>
      </c>
      <c r="AV227" t="str">
        <f t="shared" si="220"/>
        <v>1+0,228560837060379i</v>
      </c>
      <c r="AW227">
        <f t="shared" si="245"/>
        <v>1.0257875297729746</v>
      </c>
      <c r="AX227">
        <f t="shared" si="246"/>
        <v>0.22470110275840821</v>
      </c>
      <c r="AY227" t="str">
        <f t="shared" si="221"/>
        <v>1-0,111368796955452i</v>
      </c>
      <c r="AZ227">
        <f t="shared" si="247"/>
        <v>1.006182393473124</v>
      </c>
      <c r="BA227">
        <f t="shared" si="248"/>
        <v>-0.11091175730350085</v>
      </c>
      <c r="BB227" s="58" t="str">
        <f t="shared" si="249"/>
        <v>-0,979987749579147+0,341827952201382i</v>
      </c>
      <c r="BC227">
        <f t="shared" si="250"/>
        <v>0.32305350745822736</v>
      </c>
      <c r="BD227" s="60">
        <f t="shared" si="251"/>
        <v>160.77079956813787</v>
      </c>
      <c r="BE227" s="58" t="str">
        <f t="shared" si="252"/>
        <v>0,208732201058136+1,72464985310418i</v>
      </c>
      <c r="BF227" s="37">
        <f t="shared" si="253"/>
        <v>4.7971725644099479</v>
      </c>
      <c r="BG227" s="60">
        <f t="shared" si="254"/>
        <v>83.099127861642032</v>
      </c>
      <c r="BH227" s="58" t="str">
        <f t="shared" si="255"/>
        <v>-0,581659434612716+5,18953967835581i</v>
      </c>
      <c r="BI227" s="37">
        <f t="shared" si="256"/>
        <v>14.356795602572156</v>
      </c>
      <c r="BJ227" s="60">
        <f t="shared" si="257"/>
        <v>96.39519472896626</v>
      </c>
      <c r="BK227">
        <f t="shared" si="258"/>
        <v>4.7971725644099479</v>
      </c>
      <c r="BL227" s="60">
        <f t="shared" si="259"/>
        <v>83.099127861642032</v>
      </c>
      <c r="BN227">
        <f t="shared" si="260"/>
        <v>0</v>
      </c>
      <c r="BO227">
        <f t="shared" si="261"/>
        <v>0</v>
      </c>
    </row>
    <row r="228" spans="13:67" x14ac:dyDescent="0.25">
      <c r="M228" s="66">
        <v>10</v>
      </c>
      <c r="N228" s="36">
        <f t="shared" si="262"/>
        <v>1258.925411794168</v>
      </c>
      <c r="O228" s="91" t="str">
        <f t="shared" si="210"/>
        <v>13,7404580152672</v>
      </c>
      <c r="P228" s="67" t="str">
        <f t="shared" si="211"/>
        <v>1+8,54286658223774i</v>
      </c>
      <c r="Q228" s="67">
        <f t="shared" si="222"/>
        <v>8.6011958146477721</v>
      </c>
      <c r="R228" s="67">
        <f t="shared" si="223"/>
        <v>1.4542698948899691</v>
      </c>
      <c r="S228" s="67" t="str">
        <f t="shared" si="212"/>
        <v>1+0,237301849506604i</v>
      </c>
      <c r="T228" s="67">
        <f t="shared" si="224"/>
        <v>1.027770483998862</v>
      </c>
      <c r="U228" s="67">
        <f t="shared" si="225"/>
        <v>0.23299222193960489</v>
      </c>
      <c r="V228" t="str">
        <f t="shared" si="213"/>
        <v>1-0,0494378853138758i</v>
      </c>
      <c r="W228" s="67">
        <f t="shared" si="226"/>
        <v>1.0012213064574225</v>
      </c>
      <c r="X228" s="67">
        <f t="shared" si="227"/>
        <v>-4.9397667156456916E-2</v>
      </c>
      <c r="Y228" t="str">
        <f t="shared" si="214"/>
        <v>0,999898566835682+0,0857829077690539i</v>
      </c>
      <c r="Z228" s="67">
        <f t="shared" si="228"/>
        <v>1.0035715476364229</v>
      </c>
      <c r="AA228" s="67">
        <f t="shared" si="229"/>
        <v>8.5582053389636134E-2</v>
      </c>
      <c r="AB228" s="92" t="str">
        <f t="shared" si="230"/>
        <v>0,348730319197841-1,60047173201325i</v>
      </c>
      <c r="AC228" s="37">
        <f t="shared" si="231"/>
        <v>4.2864051743702367</v>
      </c>
      <c r="AD228" s="60">
        <f t="shared" si="232"/>
        <v>-77.707824580760757</v>
      </c>
      <c r="AE228" t="str">
        <f t="shared" si="233"/>
        <v>21,0353732052265</v>
      </c>
      <c r="AF228" t="str">
        <f t="shared" si="215"/>
        <v>1+4,27143329111887i</v>
      </c>
      <c r="AG228">
        <f t="shared" si="234"/>
        <v>4.3869285793683241</v>
      </c>
      <c r="AH228">
        <f t="shared" si="235"/>
        <v>1.3408246811771098</v>
      </c>
      <c r="AI228" t="str">
        <f t="shared" si="216"/>
        <v>1+0,237301849506604i</v>
      </c>
      <c r="AJ228">
        <f t="shared" si="236"/>
        <v>1.027770483998862</v>
      </c>
      <c r="AK228">
        <f t="shared" si="237"/>
        <v>0.23299222193960489</v>
      </c>
      <c r="AL228" t="str">
        <f t="shared" si="217"/>
        <v>1-0,0161463457308306i</v>
      </c>
      <c r="AM228">
        <f t="shared" si="238"/>
        <v>1.0001303437454838</v>
      </c>
      <c r="AN228">
        <f t="shared" si="239"/>
        <v>-1.6144942808714553E-2</v>
      </c>
      <c r="AO228" s="58" t="str">
        <f t="shared" si="240"/>
        <v>2,12973521447598-4,44493333806763i</v>
      </c>
      <c r="AP228">
        <f t="shared" si="241"/>
        <v>13.85484805422144</v>
      </c>
      <c r="AQ228" s="60">
        <f t="shared" si="242"/>
        <v>-64.399161405327291</v>
      </c>
      <c r="AR228" t="str">
        <f t="shared" si="218"/>
        <v>-1,05811623246493</v>
      </c>
      <c r="AS228" t="str">
        <f t="shared" si="219"/>
        <v>1+0,233884702873709i</v>
      </c>
      <c r="AT228">
        <f t="shared" si="243"/>
        <v>1.0269868812396403</v>
      </c>
      <c r="AU228">
        <f t="shared" si="244"/>
        <v>0.22975476995045818</v>
      </c>
      <c r="AV228" t="str">
        <f t="shared" si="220"/>
        <v>1+0,233884702873709i</v>
      </c>
      <c r="AW228">
        <f t="shared" si="245"/>
        <v>1.0269868812396403</v>
      </c>
      <c r="AX228">
        <f t="shared" si="246"/>
        <v>0.22975476995045818</v>
      </c>
      <c r="AY228" t="str">
        <f t="shared" si="221"/>
        <v>1-0,108833733637938i</v>
      </c>
      <c r="AZ228">
        <f t="shared" si="247"/>
        <v>1.0059049565329587</v>
      </c>
      <c r="BA228">
        <f t="shared" si="248"/>
        <v>-0.10840705795155393</v>
      </c>
      <c r="BB228" s="58" t="str">
        <f t="shared" si="249"/>
        <v>-0,977700157675478+0,343827851079575i</v>
      </c>
      <c r="BC228">
        <f t="shared" si="250"/>
        <v>0.31050858160779465</v>
      </c>
      <c r="BD228" s="60">
        <f t="shared" si="251"/>
        <v>160.6247544687854</v>
      </c>
      <c r="BE228" s="58" t="str">
        <f t="shared" si="252"/>
        <v>0,209333068265772+1,68468466100059i</v>
      </c>
      <c r="BF228" s="37">
        <f t="shared" si="253"/>
        <v>4.5969137559780417</v>
      </c>
      <c r="BG228" s="60">
        <f t="shared" si="254"/>
        <v>82.91692988802464</v>
      </c>
      <c r="BH228" s="58" t="str">
        <f t="shared" si="255"/>
        <v>-0,553950577180428+5,07807430764748i</v>
      </c>
      <c r="BI228" s="37">
        <f t="shared" si="256"/>
        <v>14.16535663582923</v>
      </c>
      <c r="BJ228" s="60">
        <f t="shared" si="257"/>
        <v>96.225593063458092</v>
      </c>
      <c r="BK228">
        <f t="shared" si="258"/>
        <v>4.5969137559780417</v>
      </c>
      <c r="BL228" s="60">
        <f t="shared" si="259"/>
        <v>82.91692988802464</v>
      </c>
      <c r="BN228">
        <f t="shared" si="260"/>
        <v>0</v>
      </c>
      <c r="BO228">
        <f t="shared" si="261"/>
        <v>0</v>
      </c>
    </row>
    <row r="229" spans="13:67" x14ac:dyDescent="0.25">
      <c r="M229" s="66">
        <v>11</v>
      </c>
      <c r="N229" s="36">
        <f t="shared" si="262"/>
        <v>1288.2495516931347</v>
      </c>
      <c r="O229" s="91" t="str">
        <f t="shared" si="210"/>
        <v>13,7404580152672</v>
      </c>
      <c r="P229" s="67" t="str">
        <f t="shared" si="211"/>
        <v>1+8,74185550759331i</v>
      </c>
      <c r="Q229" s="67">
        <f t="shared" si="222"/>
        <v>8.7988657061941513</v>
      </c>
      <c r="R229" s="67">
        <f t="shared" si="223"/>
        <v>1.4568992175412012</v>
      </c>
      <c r="S229" s="67" t="str">
        <f t="shared" si="212"/>
        <v>1+0,24282931965537i</v>
      </c>
      <c r="T229" s="67">
        <f t="shared" si="224"/>
        <v>1.029060774922594</v>
      </c>
      <c r="U229" s="67">
        <f t="shared" si="225"/>
        <v>0.2382184844152897</v>
      </c>
      <c r="V229" t="str">
        <f t="shared" si="213"/>
        <v>1-0,0505894415948687i</v>
      </c>
      <c r="W229" s="67">
        <f t="shared" si="226"/>
        <v>1.001278828099786</v>
      </c>
      <c r="X229" s="67">
        <f t="shared" si="227"/>
        <v>-5.0546350034871332E-2</v>
      </c>
      <c r="Y229" t="str">
        <f t="shared" si="214"/>
        <v>0,999893786437924+0,087781048377539i</v>
      </c>
      <c r="Z229" s="67">
        <f t="shared" si="228"/>
        <v>1.0037395561655567</v>
      </c>
      <c r="AA229" s="67">
        <f t="shared" si="229"/>
        <v>8.7565872305668591E-2</v>
      </c>
      <c r="AB229" s="92" t="str">
        <f t="shared" si="230"/>
        <v>0,340447499361902-1,5664909927347i</v>
      </c>
      <c r="AC229" s="37">
        <f t="shared" si="231"/>
        <v>4.0989907637490601</v>
      </c>
      <c r="AD229" s="60">
        <f t="shared" si="232"/>
        <v>-77.738510021309153</v>
      </c>
      <c r="AE229" t="str">
        <f t="shared" si="233"/>
        <v>21,0353732052265</v>
      </c>
      <c r="AF229" t="str">
        <f t="shared" si="215"/>
        <v>1+4,37092775379666i</v>
      </c>
      <c r="AG229">
        <f t="shared" si="234"/>
        <v>4.4838609957167401</v>
      </c>
      <c r="AH229">
        <f t="shared" si="235"/>
        <v>1.3458827887129097</v>
      </c>
      <c r="AI229" t="str">
        <f t="shared" si="216"/>
        <v>1+0,24282931965537i</v>
      </c>
      <c r="AJ229">
        <f t="shared" si="236"/>
        <v>1.029060774922594</v>
      </c>
      <c r="AK229">
        <f t="shared" si="237"/>
        <v>0.2382184844152897</v>
      </c>
      <c r="AL229" t="str">
        <f t="shared" si="217"/>
        <v>1-0,0165224424373013i</v>
      </c>
      <c r="AM229">
        <f t="shared" si="238"/>
        <v>1.0001364862378004</v>
      </c>
      <c r="AN229">
        <f t="shared" si="239"/>
        <v>-1.65209391902497E-2</v>
      </c>
      <c r="AO229" s="58" t="str">
        <f t="shared" si="240"/>
        <v>2,0854181366039-4,35476239036144i</v>
      </c>
      <c r="AP229">
        <f t="shared" si="241"/>
        <v>13.675967531190011</v>
      </c>
      <c r="AQ229" s="60">
        <f t="shared" si="242"/>
        <v>-64.411069842741711</v>
      </c>
      <c r="AR229" t="str">
        <f t="shared" si="218"/>
        <v>-1,05811623246493</v>
      </c>
      <c r="AS229" t="str">
        <f t="shared" si="219"/>
        <v>1+0,239332577452332i</v>
      </c>
      <c r="AT229">
        <f t="shared" si="243"/>
        <v>1.0282412570160644</v>
      </c>
      <c r="AU229">
        <f t="shared" si="244"/>
        <v>0.23491381245264825</v>
      </c>
      <c r="AV229" t="str">
        <f t="shared" si="220"/>
        <v>1+0,239332577452332i</v>
      </c>
      <c r="AW229">
        <f t="shared" si="245"/>
        <v>1.0282412570160644</v>
      </c>
      <c r="AX229">
        <f t="shared" si="246"/>
        <v>0.23491381245264825</v>
      </c>
      <c r="AY229" t="str">
        <f t="shared" si="221"/>
        <v>1-0,106356375406583i</v>
      </c>
      <c r="AZ229">
        <f t="shared" si="247"/>
        <v>1.0056399348621883</v>
      </c>
      <c r="BA229">
        <f t="shared" si="248"/>
        <v>-0.10595805230862321</v>
      </c>
      <c r="BB229" s="58" t="str">
        <f t="shared" si="249"/>
        <v>-0,975316173709052+0,345962340928573i</v>
      </c>
      <c r="BC229">
        <f t="shared" si="250"/>
        <v>0.29761725397131589</v>
      </c>
      <c r="BD229" s="60">
        <f t="shared" si="251"/>
        <v>160.46948079442498</v>
      </c>
      <c r="BE229" s="58" t="str">
        <f t="shared" si="252"/>
        <v>0,209902938463556+1,64560601502622i</v>
      </c>
      <c r="BF229" s="37">
        <f t="shared" si="253"/>
        <v>4.3966080177203555</v>
      </c>
      <c r="BG229" s="60">
        <f t="shared" si="254"/>
        <v>82.730970773115814</v>
      </c>
      <c r="BH229" s="58" t="str">
        <f t="shared" si="255"/>
        <v>-0,527358246818825+4,96874633233379i</v>
      </c>
      <c r="BI229" s="37">
        <f t="shared" si="256"/>
        <v>13.973584785161325</v>
      </c>
      <c r="BJ229" s="60">
        <f t="shared" si="257"/>
        <v>96.058410951683285</v>
      </c>
      <c r="BK229">
        <f t="shared" si="258"/>
        <v>4.3966080177203555</v>
      </c>
      <c r="BL229" s="60">
        <f t="shared" si="259"/>
        <v>82.730970773115814</v>
      </c>
      <c r="BN229">
        <f t="shared" si="260"/>
        <v>0</v>
      </c>
      <c r="BO229">
        <f t="shared" si="261"/>
        <v>0</v>
      </c>
    </row>
    <row r="230" spans="13:67" x14ac:dyDescent="0.25">
      <c r="M230" s="66">
        <v>12</v>
      </c>
      <c r="N230" s="36">
        <f t="shared" si="262"/>
        <v>1318.2567385564089</v>
      </c>
      <c r="O230" s="91" t="str">
        <f t="shared" si="210"/>
        <v>13,7404580152672</v>
      </c>
      <c r="P230" s="67" t="str">
        <f t="shared" si="211"/>
        <v>1+8,94547948045116i</v>
      </c>
      <c r="Q230" s="67">
        <f t="shared" si="222"/>
        <v>9.0012000941637087</v>
      </c>
      <c r="R230" s="67">
        <f t="shared" si="223"/>
        <v>1.4594702187434572</v>
      </c>
      <c r="S230" s="67" t="str">
        <f t="shared" si="212"/>
        <v>1+0,248485541123644i</v>
      </c>
      <c r="T230" s="67">
        <f t="shared" si="224"/>
        <v>1.0304101436551905</v>
      </c>
      <c r="U230" s="67">
        <f t="shared" si="225"/>
        <v>0.24355278292995125</v>
      </c>
      <c r="V230" t="str">
        <f t="shared" si="213"/>
        <v>1-0,0517678210674257i</v>
      </c>
      <c r="W230" s="67">
        <f t="shared" si="226"/>
        <v>1.0013390571120597</v>
      </c>
      <c r="X230" s="67">
        <f t="shared" si="227"/>
        <v>-5.1721650963184256E-2</v>
      </c>
      <c r="Y230" t="str">
        <f t="shared" si="214"/>
        <v>0,99988878074696+0,0898257316597937i</v>
      </c>
      <c r="Z230" s="67">
        <f t="shared" si="228"/>
        <v>1.0039154525814709</v>
      </c>
      <c r="AA230" s="67">
        <f t="shared" si="229"/>
        <v>8.9595214874336498E-2</v>
      </c>
      <c r="AB230" s="92" t="str">
        <f t="shared" si="230"/>
        <v>0,332516087807194-1,53325684476903i</v>
      </c>
      <c r="AC230" s="37">
        <f t="shared" si="231"/>
        <v>3.9118987154335265</v>
      </c>
      <c r="AD230" s="60">
        <f t="shared" si="232"/>
        <v>-77.763797294989487</v>
      </c>
      <c r="AE230" t="str">
        <f t="shared" si="233"/>
        <v>21,0353732052265</v>
      </c>
      <c r="AF230" t="str">
        <f t="shared" si="215"/>
        <v>1+4,47273974022558i</v>
      </c>
      <c r="AG230">
        <f t="shared" si="234"/>
        <v>4.5831649308958093</v>
      </c>
      <c r="AH230">
        <f t="shared" si="235"/>
        <v>1.350837097380402</v>
      </c>
      <c r="AI230" t="str">
        <f t="shared" si="216"/>
        <v>1+0,248485541123644i</v>
      </c>
      <c r="AJ230">
        <f t="shared" si="236"/>
        <v>1.0304101436551905</v>
      </c>
      <c r="AK230">
        <f t="shared" si="237"/>
        <v>0.24355278292995125</v>
      </c>
      <c r="AL230" t="str">
        <f t="shared" si="217"/>
        <v>1-0,0169072995614525i</v>
      </c>
      <c r="AM230">
        <f t="shared" si="238"/>
        <v>1.0001429181764279</v>
      </c>
      <c r="AN230">
        <f t="shared" si="239"/>
        <v>-1.6905688815647336E-2</v>
      </c>
      <c r="AO230" s="58" t="str">
        <f t="shared" si="240"/>
        <v>2,04290126786112-4,26603094864888i</v>
      </c>
      <c r="AP230">
        <f t="shared" si="241"/>
        <v>13.497138498558783</v>
      </c>
      <c r="AQ230" s="60">
        <f t="shared" si="242"/>
        <v>-64.411342557945687</v>
      </c>
      <c r="AR230" t="str">
        <f t="shared" si="218"/>
        <v>-1,05811623246493</v>
      </c>
      <c r="AS230" t="str">
        <f t="shared" si="219"/>
        <v>1+0,244907349331463i</v>
      </c>
      <c r="AT230">
        <f t="shared" si="243"/>
        <v>1.0295531116734888</v>
      </c>
      <c r="AU230">
        <f t="shared" si="244"/>
        <v>0.24017986667979152</v>
      </c>
      <c r="AV230" t="str">
        <f t="shared" si="220"/>
        <v>1+0,244907349331463i</v>
      </c>
      <c r="AW230">
        <f t="shared" si="245"/>
        <v>1.0295531116734888</v>
      </c>
      <c r="AX230">
        <f t="shared" si="246"/>
        <v>0.24017986667979152</v>
      </c>
      <c r="AY230" t="str">
        <f t="shared" si="221"/>
        <v>1-0,103935408733262i</v>
      </c>
      <c r="AZ230">
        <f t="shared" si="247"/>
        <v>1.0053867759168857</v>
      </c>
      <c r="BA230">
        <f t="shared" si="248"/>
        <v>-0.10356355944929278</v>
      </c>
      <c r="BB230" s="58" t="str">
        <f t="shared" si="249"/>
        <v>-0,972832265109592+0,348229514500655i</v>
      </c>
      <c r="BC230">
        <f t="shared" si="250"/>
        <v>0.28435579868432087</v>
      </c>
      <c r="BD230" s="60">
        <f t="shared" si="251"/>
        <v>160.30495244743648</v>
      </c>
      <c r="BE230" s="58" t="str">
        <f t="shared" si="252"/>
        <v>0,210442907771873+1,6073936451122i</v>
      </c>
      <c r="BF230" s="37">
        <f t="shared" si="253"/>
        <v>4.1962545141178555</v>
      </c>
      <c r="BG230" s="60">
        <f t="shared" si="254"/>
        <v>82.541155152447018</v>
      </c>
      <c r="BH230" s="58" t="str">
        <f t="shared" si="255"/>
        <v>-0,501842381715823+4,86153106748176i</v>
      </c>
      <c r="BI230" s="37">
        <f t="shared" si="256"/>
        <v>13.781494297243102</v>
      </c>
      <c r="BJ230" s="60">
        <f t="shared" si="257"/>
        <v>95.89360988949079</v>
      </c>
      <c r="BK230">
        <f t="shared" si="258"/>
        <v>4.1962545141178555</v>
      </c>
      <c r="BL230" s="60">
        <f t="shared" si="259"/>
        <v>82.541155152447018</v>
      </c>
      <c r="BN230">
        <f t="shared" si="260"/>
        <v>0</v>
      </c>
      <c r="BO230">
        <f t="shared" si="261"/>
        <v>0</v>
      </c>
    </row>
    <row r="231" spans="13:67" x14ac:dyDescent="0.25">
      <c r="M231" s="66">
        <v>13</v>
      </c>
      <c r="N231" s="36">
        <f t="shared" si="262"/>
        <v>1348.9628825916541</v>
      </c>
      <c r="O231" s="91" t="str">
        <f t="shared" si="210"/>
        <v>13,7404580152672</v>
      </c>
      <c r="P231" s="67" t="str">
        <f t="shared" si="211"/>
        <v>1+9,15384646493694i</v>
      </c>
      <c r="Q231" s="67">
        <f t="shared" si="222"/>
        <v>9.208306310263497</v>
      </c>
      <c r="R231" s="67">
        <f t="shared" si="223"/>
        <v>1.4619841256464821</v>
      </c>
      <c r="S231" s="67" t="str">
        <f t="shared" si="212"/>
        <v>1+0,254273512914915i</v>
      </c>
      <c r="T231" s="67">
        <f t="shared" si="224"/>
        <v>1.031821214828466</v>
      </c>
      <c r="U231" s="67">
        <f t="shared" si="225"/>
        <v>0.24899673098590627</v>
      </c>
      <c r="V231" t="str">
        <f t="shared" si="213"/>
        <v>1-0,0529736485239406i</v>
      </c>
      <c r="W231" s="67">
        <f t="shared" si="226"/>
        <v>1.0014021207476735</v>
      </c>
      <c r="X231" s="67">
        <f t="shared" si="227"/>
        <v>-5.2924180106283983E-2</v>
      </c>
      <c r="Y231" t="str">
        <f t="shared" si="214"/>
        <v>0,999883539145049+0,0919180417339582i</v>
      </c>
      <c r="Z231" s="67">
        <f t="shared" si="228"/>
        <v>1.0040996057411009</v>
      </c>
      <c r="AA231" s="67">
        <f t="shared" si="229"/>
        <v>9.1671092971334703E-2</v>
      </c>
      <c r="AB231" s="92" t="str">
        <f t="shared" si="230"/>
        <v>0,324920511834175-1,50075699010715i</v>
      </c>
      <c r="AC231" s="37">
        <f t="shared" si="231"/>
        <v>3.7251523038231986</v>
      </c>
      <c r="AD231" s="60">
        <f t="shared" si="232"/>
        <v>-77.783757201509772</v>
      </c>
      <c r="AE231" t="str">
        <f t="shared" si="233"/>
        <v>21,0353732052265</v>
      </c>
      <c r="AF231" t="str">
        <f t="shared" si="215"/>
        <v>1+4,57692323246848i</v>
      </c>
      <c r="AG231">
        <f t="shared" si="234"/>
        <v>4.684893411371247</v>
      </c>
      <c r="AH231">
        <f t="shared" si="235"/>
        <v>1.3556892607452509</v>
      </c>
      <c r="AI231" t="str">
        <f t="shared" si="216"/>
        <v>1+0,254273512914915i</v>
      </c>
      <c r="AJ231">
        <f t="shared" si="236"/>
        <v>1.031821214828466</v>
      </c>
      <c r="AK231">
        <f t="shared" si="237"/>
        <v>0.24899673098590627</v>
      </c>
      <c r="AL231" t="str">
        <f t="shared" si="217"/>
        <v>1-0,0173011211596258i</v>
      </c>
      <c r="AM231">
        <f t="shared" si="238"/>
        <v>1.0001496531986502</v>
      </c>
      <c r="AN231">
        <f t="shared" si="239"/>
        <v>-1.7299395228347478E-2</v>
      </c>
      <c r="AO231" s="58" t="str">
        <f t="shared" si="240"/>
        <v>2,00211949283049-4,17874452100624i</v>
      </c>
      <c r="AP231">
        <f t="shared" si="241"/>
        <v>13.318398975788877</v>
      </c>
      <c r="AQ231" s="60">
        <f t="shared" si="242"/>
        <v>-64.399993508579826</v>
      </c>
      <c r="AR231" t="str">
        <f t="shared" si="218"/>
        <v>-1,05811623246493</v>
      </c>
      <c r="AS231" t="str">
        <f t="shared" si="219"/>
        <v>1+0,25061197432894i</v>
      </c>
      <c r="AT231">
        <f t="shared" si="243"/>
        <v>1.0309250029352519</v>
      </c>
      <c r="AU231">
        <f t="shared" si="244"/>
        <v>0.24555455597709999</v>
      </c>
      <c r="AV231" t="str">
        <f t="shared" si="220"/>
        <v>1+0,25061197432894i</v>
      </c>
      <c r="AW231">
        <f t="shared" si="245"/>
        <v>1.0309250029352519</v>
      </c>
      <c r="AX231">
        <f t="shared" si="246"/>
        <v>0.24555455597709999</v>
      </c>
      <c r="AY231" t="str">
        <f t="shared" si="221"/>
        <v>1-0,1015695499894i</v>
      </c>
      <c r="AZ231">
        <f t="shared" si="247"/>
        <v>1.0051449514796607</v>
      </c>
      <c r="BA231">
        <f t="shared" si="248"/>
        <v>-0.10122241967414024</v>
      </c>
      <c r="BB231" s="58" t="str">
        <f t="shared" si="249"/>
        <v>-0,970244817788172+0,350627358936258i</v>
      </c>
      <c r="BC231">
        <f t="shared" si="250"/>
        <v>0.27069999853907112</v>
      </c>
      <c r="BD231" s="60">
        <f t="shared" si="251"/>
        <v>160.13114286287305</v>
      </c>
      <c r="BE231" s="58" t="str">
        <f t="shared" si="252"/>
        <v>0,210954017046209+1,57002771333947i</v>
      </c>
      <c r="BF231" s="37">
        <f t="shared" si="253"/>
        <v>3.9958523023622652</v>
      </c>
      <c r="BG231" s="60">
        <f t="shared" si="254"/>
        <v>82.347385661363305</v>
      </c>
      <c r="BH231" s="58" t="str">
        <f t="shared" si="255"/>
        <v>-0,47736390744169+4,75640308641298i</v>
      </c>
      <c r="BI231" s="37">
        <f t="shared" si="256"/>
        <v>13.589098974327953</v>
      </c>
      <c r="BJ231" s="60">
        <f t="shared" si="257"/>
        <v>95.731149354293223</v>
      </c>
      <c r="BK231">
        <f t="shared" si="258"/>
        <v>3.9958523023622652</v>
      </c>
      <c r="BL231" s="60">
        <f t="shared" si="259"/>
        <v>82.347385661363305</v>
      </c>
      <c r="BN231">
        <f t="shared" si="260"/>
        <v>0</v>
      </c>
      <c r="BO231">
        <f t="shared" si="261"/>
        <v>0</v>
      </c>
    </row>
    <row r="232" spans="13:67" x14ac:dyDescent="0.25">
      <c r="M232" s="66">
        <v>14</v>
      </c>
      <c r="N232" s="36">
        <f t="shared" si="262"/>
        <v>1380.3842646028863</v>
      </c>
      <c r="O232" s="91" t="str">
        <f t="shared" si="210"/>
        <v>13,7404580152672</v>
      </c>
      <c r="P232" s="67" t="str">
        <f t="shared" si="211"/>
        <v>1+9,36706693998393i</v>
      </c>
      <c r="Q232" s="67">
        <f t="shared" si="222"/>
        <v>9.4202942129288036</v>
      </c>
      <c r="R232" s="67">
        <f t="shared" si="223"/>
        <v>1.4644421439903323</v>
      </c>
      <c r="S232" s="67" t="str">
        <f t="shared" si="212"/>
        <v>1+0,260196303888443i</v>
      </c>
      <c r="T232" s="67">
        <f t="shared" si="224"/>
        <v>1.0332967224167542</v>
      </c>
      <c r="U232" s="67">
        <f t="shared" si="225"/>
        <v>0.25455192376676561</v>
      </c>
      <c r="V232" t="str">
        <f t="shared" si="213"/>
        <v>1-0,0542075633100922i</v>
      </c>
      <c r="W232" s="67">
        <f t="shared" si="226"/>
        <v>1.0014681522245317</v>
      </c>
      <c r="X232" s="67">
        <f t="shared" si="227"/>
        <v>-5.4154561141556791E-2</v>
      </c>
      <c r="Y232" t="str">
        <f t="shared" si="214"/>
        <v>0,99987805051405+0,0940590879705294i</v>
      </c>
      <c r="Z232" s="67">
        <f t="shared" si="228"/>
        <v>1.0042924016090258</v>
      </c>
      <c r="AA232" s="67">
        <f t="shared" si="229"/>
        <v>9.3794538635022226E-2</v>
      </c>
      <c r="AB232" s="92" t="str">
        <f t="shared" si="230"/>
        <v>0,317645806042397-1,4689791689041i</v>
      </c>
      <c r="AC232" s="37">
        <f t="shared" si="231"/>
        <v>3.5387752080499961</v>
      </c>
      <c r="AD232" s="60">
        <f t="shared" si="232"/>
        <v>-77.798462292921954</v>
      </c>
      <c r="AE232" t="str">
        <f t="shared" si="233"/>
        <v>21,0353732052265</v>
      </c>
      <c r="AF232" t="str">
        <f t="shared" si="215"/>
        <v>1+4,68353346999197i</v>
      </c>
      <c r="AG232">
        <f t="shared" si="234"/>
        <v>4.7891007260794822</v>
      </c>
      <c r="AH232">
        <f t="shared" si="235"/>
        <v>1.3604409371764812</v>
      </c>
      <c r="AI232" t="str">
        <f t="shared" si="216"/>
        <v>1+0,260196303888443i</v>
      </c>
      <c r="AJ232">
        <f t="shared" si="236"/>
        <v>1.0332967224167542</v>
      </c>
      <c r="AK232">
        <f t="shared" si="237"/>
        <v>0.25455192376676561</v>
      </c>
      <c r="AL232" t="str">
        <f t="shared" si="217"/>
        <v>1-0,0177041160412454i</v>
      </c>
      <c r="AM232">
        <f t="shared" si="238"/>
        <v>1.0001567055840808</v>
      </c>
      <c r="AN232">
        <f t="shared" si="239"/>
        <v>-1.7702266688210472E-2</v>
      </c>
      <c r="AO232" s="58" t="str">
        <f t="shared" si="240"/>
        <v>1,96300937232296-4,09290642646485i</v>
      </c>
      <c r="AP232">
        <f t="shared" si="241"/>
        <v>13.139787061411717</v>
      </c>
      <c r="AQ232" s="60">
        <f t="shared" si="242"/>
        <v>-64.377038247312768</v>
      </c>
      <c r="AR232" t="str">
        <f t="shared" si="218"/>
        <v>-1,05811623246493</v>
      </c>
      <c r="AS232" t="str">
        <f t="shared" si="219"/>
        <v>1+0,256449477112449i</v>
      </c>
      <c r="AT232">
        <f t="shared" si="243"/>
        <v>1.0323595954468814</v>
      </c>
      <c r="AU232">
        <f t="shared" si="244"/>
        <v>0.25103948746049293</v>
      </c>
      <c r="AV232" t="str">
        <f t="shared" si="220"/>
        <v>1+0,256449477112449i</v>
      </c>
      <c r="AW232">
        <f t="shared" si="245"/>
        <v>1.0323595954468814</v>
      </c>
      <c r="AX232">
        <f t="shared" si="246"/>
        <v>0.25103948746049293</v>
      </c>
      <c r="AY232" t="str">
        <f t="shared" si="221"/>
        <v>1-0,0992575447653732i</v>
      </c>
      <c r="AZ232">
        <f t="shared" si="247"/>
        <v>1.0049139566116345</v>
      </c>
      <c r="BA232">
        <f t="shared" si="248"/>
        <v>-9.8933494389112753E-2</v>
      </c>
      <c r="BB232" s="58" t="str">
        <f t="shared" si="249"/>
        <v>-0,967550138835884+0,353153746495396i</v>
      </c>
      <c r="BC232">
        <f t="shared" si="250"/>
        <v>0.25662512114548541</v>
      </c>
      <c r="BD232" s="60">
        <f t="shared" si="251"/>
        <v>159.94802519640902</v>
      </c>
      <c r="BE232" s="58" t="str">
        <f t="shared" si="252"/>
        <v>0,211437253285219+1,53348880528261i</v>
      </c>
      <c r="BF232" s="37">
        <f t="shared" si="253"/>
        <v>3.7954003291955041</v>
      </c>
      <c r="BG232" s="60">
        <f t="shared" si="254"/>
        <v>82.149562903487066</v>
      </c>
      <c r="BH232" s="58" t="str">
        <f t="shared" si="255"/>
        <v>-0,453884752166077+4,65333629540978i</v>
      </c>
      <c r="BI232" s="37">
        <f t="shared" si="256"/>
        <v>13.39641218255721</v>
      </c>
      <c r="BJ232" s="60">
        <f t="shared" si="257"/>
        <v>95.570986949096252</v>
      </c>
      <c r="BK232">
        <f t="shared" si="258"/>
        <v>3.7954003291955041</v>
      </c>
      <c r="BL232" s="60">
        <f t="shared" si="259"/>
        <v>82.149562903487066</v>
      </c>
      <c r="BN232">
        <f t="shared" si="260"/>
        <v>0</v>
      </c>
      <c r="BO232">
        <f t="shared" si="261"/>
        <v>0</v>
      </c>
    </row>
    <row r="233" spans="13:67" x14ac:dyDescent="0.25">
      <c r="M233" s="66">
        <v>15</v>
      </c>
      <c r="N233" s="36">
        <f t="shared" si="262"/>
        <v>1412.5375446227545</v>
      </c>
      <c r="O233" s="91" t="str">
        <f t="shared" si="210"/>
        <v>13,7404580152672</v>
      </c>
      <c r="P233" s="67" t="str">
        <f t="shared" si="211"/>
        <v>1+9,58525395791028i</v>
      </c>
      <c r="Q233" s="67">
        <f t="shared" si="222"/>
        <v>9.6372762457882608</v>
      </c>
      <c r="R233" s="67">
        <f t="shared" si="223"/>
        <v>1.4668454581762991</v>
      </c>
      <c r="S233" s="67" t="str">
        <f t="shared" si="212"/>
        <v>1+0,266257054386397i</v>
      </c>
      <c r="T233" s="67">
        <f t="shared" si="224"/>
        <v>1.0348395136495903</v>
      </c>
      <c r="U233" s="67">
        <f t="shared" si="225"/>
        <v>0.2602199346597302</v>
      </c>
      <c r="V233" t="str">
        <f t="shared" si="213"/>
        <v>1-0,0554702196638326i</v>
      </c>
      <c r="W233" s="67">
        <f t="shared" si="226"/>
        <v>1.001537291002963</v>
      </c>
      <c r="X233" s="67">
        <f t="shared" si="227"/>
        <v>-5.5413431524090104E-2</v>
      </c>
      <c r="Y233" t="str">
        <f t="shared" si="214"/>
        <v>0,999872303211842+0,0962500055805617i</v>
      </c>
      <c r="Z233" s="67">
        <f t="shared" si="228"/>
        <v>1.0044942440374718</v>
      </c>
      <c r="AA233" s="67">
        <f t="shared" si="229"/>
        <v>9.5966604299887154E-2</v>
      </c>
      <c r="AB233" s="92" t="str">
        <f t="shared" si="230"/>
        <v>0,310677589735106-1,43791117417977i</v>
      </c>
      <c r="AC233" s="37">
        <f t="shared" si="231"/>
        <v>3.3527915315371972</v>
      </c>
      <c r="AD233" s="60">
        <f t="shared" si="232"/>
        <v>-77.807987105515949</v>
      </c>
      <c r="AE233" t="str">
        <f t="shared" si="233"/>
        <v>21,0353732052265</v>
      </c>
      <c r="AF233" t="str">
        <f t="shared" si="215"/>
        <v>1+4,79262697895514i</v>
      </c>
      <c r="AG233">
        <f t="shared" si="234"/>
        <v>4.8958424565552221</v>
      </c>
      <c r="AH233">
        <f t="shared" si="235"/>
        <v>1.3650937873966116</v>
      </c>
      <c r="AI233" t="str">
        <f t="shared" si="216"/>
        <v>1+0,266257054386397i</v>
      </c>
      <c r="AJ233">
        <f t="shared" si="236"/>
        <v>1.0348395136495903</v>
      </c>
      <c r="AK233">
        <f t="shared" si="237"/>
        <v>0.2602199346597302</v>
      </c>
      <c r="AL233" t="str">
        <f t="shared" si="217"/>
        <v>1-0,0181164978795317i</v>
      </c>
      <c r="AM233">
        <f t="shared" si="238"/>
        <v>1.0001640902848987</v>
      </c>
      <c r="AN233">
        <f t="shared" si="239"/>
        <v>-1.8114516279611029E-2</v>
      </c>
      <c r="AO233" s="58" t="str">
        <f t="shared" si="240"/>
        <v>1,92550916103724-4,00851793993784i</v>
      </c>
      <c r="AP233">
        <f t="shared" si="241"/>
        <v>12.961340964759717</v>
      </c>
      <c r="AQ233" s="60">
        <f t="shared" si="242"/>
        <v>-64.342493986924836</v>
      </c>
      <c r="AR233" t="str">
        <f t="shared" si="218"/>
        <v>-1,05811623246493</v>
      </c>
      <c r="AS233" t="str">
        <f t="shared" si="219"/>
        <v>1+0,262422952803233i</v>
      </c>
      <c r="AT233">
        <f t="shared" si="243"/>
        <v>1.0338596646344067</v>
      </c>
      <c r="AU233">
        <f t="shared" si="244"/>
        <v>0.25663624866337142</v>
      </c>
      <c r="AV233" t="str">
        <f t="shared" si="220"/>
        <v>1+0,262422952803233i</v>
      </c>
      <c r="AW233">
        <f t="shared" si="245"/>
        <v>1.0338596646344067</v>
      </c>
      <c r="AX233">
        <f t="shared" si="246"/>
        <v>0.25663624866337142</v>
      </c>
      <c r="AY233" t="str">
        <f t="shared" si="221"/>
        <v>1-0,0969981672054103i</v>
      </c>
      <c r="AZ233">
        <f t="shared" si="247"/>
        <v>1.0046933086475736</v>
      </c>
      <c r="BA233">
        <f t="shared" si="248"/>
        <v>-9.6695665965042227E-2</v>
      </c>
      <c r="BB233" s="58" t="str">
        <f t="shared" si="249"/>
        <v>-0,964744459770903+0,355806425073032i</v>
      </c>
      <c r="BC233">
        <f t="shared" si="250"/>
        <v>0.24210589597283502</v>
      </c>
      <c r="BD233" s="60">
        <f t="shared" si="251"/>
        <v>159.7555725245152</v>
      </c>
      <c r="BE233" s="58" t="str">
        <f t="shared" si="252"/>
        <v>0,211893550985549+1,49775792148656i</v>
      </c>
      <c r="BF233" s="37">
        <f t="shared" si="253"/>
        <v>3.5948974275100243</v>
      </c>
      <c r="BG233" s="60">
        <f t="shared" si="254"/>
        <v>81.947585418999253</v>
      </c>
      <c r="BH233" s="58" t="str">
        <f t="shared" si="255"/>
        <v>-0,431367857298399+4,55230400548134i</v>
      </c>
      <c r="BI233" s="37">
        <f t="shared" si="256"/>
        <v>13.203446860732559</v>
      </c>
      <c r="BJ233" s="60">
        <f t="shared" si="257"/>
        <v>95.413078537590351</v>
      </c>
      <c r="BK233">
        <f t="shared" si="258"/>
        <v>3.5948974275100243</v>
      </c>
      <c r="BL233" s="60">
        <f t="shared" si="259"/>
        <v>81.947585418999253</v>
      </c>
      <c r="BN233">
        <f t="shared" si="260"/>
        <v>0</v>
      </c>
      <c r="BO233">
        <f t="shared" si="261"/>
        <v>0</v>
      </c>
    </row>
    <row r="234" spans="13:67" x14ac:dyDescent="0.25">
      <c r="M234" s="66">
        <v>16</v>
      </c>
      <c r="N234" s="36">
        <f t="shared" si="262"/>
        <v>1445.4397707459289</v>
      </c>
      <c r="O234" s="91" t="str">
        <f t="shared" si="210"/>
        <v>13,7404580152672</v>
      </c>
      <c r="P234" s="67" t="str">
        <f t="shared" si="211"/>
        <v>1+9,80852320436096i</v>
      </c>
      <c r="Q234" s="67">
        <f t="shared" si="222"/>
        <v>9.8593674974862058</v>
      </c>
      <c r="R234" s="67">
        <f t="shared" si="223"/>
        <v>1.4691952313620005</v>
      </c>
      <c r="S234" s="67" t="str">
        <f t="shared" si="212"/>
        <v>1+0,272458977898916i</v>
      </c>
      <c r="T234" s="67">
        <f t="shared" si="224"/>
        <v>1.0364525530084443</v>
      </c>
      <c r="U234" s="67">
        <f t="shared" si="225"/>
        <v>0.26600231157657805</v>
      </c>
      <c r="V234" t="str">
        <f t="shared" si="213"/>
        <v>1-0,0567622870622741i</v>
      </c>
      <c r="W234" s="67">
        <f t="shared" si="226"/>
        <v>1.0016096830764667</v>
      </c>
      <c r="X234" s="67">
        <f t="shared" si="227"/>
        <v>-5.670144275457624E-2</v>
      </c>
      <c r="Y234" t="str">
        <f t="shared" si="214"/>
        <v>0,999866285047625+0,0984919562175723i</v>
      </c>
      <c r="Z234" s="67">
        <f t="shared" si="228"/>
        <v>1.0047055555805904</v>
      </c>
      <c r="AA234" s="67">
        <f t="shared" si="229"/>
        <v>9.8188363019456437E-2</v>
      </c>
      <c r="AB234" s="92" t="str">
        <f t="shared" si="230"/>
        <v>0,304002044821658-1,40754086524521i</v>
      </c>
      <c r="AC234" s="37">
        <f t="shared" si="231"/>
        <v>3.1672258203250236</v>
      </c>
      <c r="AD234" s="60">
        <f t="shared" si="232"/>
        <v>-77.812408404180417</v>
      </c>
      <c r="AE234" t="str">
        <f t="shared" si="233"/>
        <v>21,0353732052265</v>
      </c>
      <c r="AF234" t="str">
        <f t="shared" si="215"/>
        <v>1+4,90426160218048i</v>
      </c>
      <c r="AG234">
        <f t="shared" si="234"/>
        <v>5.0051755076742159</v>
      </c>
      <c r="AH234">
        <f t="shared" si="235"/>
        <v>1.3696494721957611</v>
      </c>
      <c r="AI234" t="str">
        <f t="shared" si="216"/>
        <v>1+0,272458977898916i</v>
      </c>
      <c r="AJ234">
        <f t="shared" si="236"/>
        <v>1.0364525530084443</v>
      </c>
      <c r="AK234">
        <f t="shared" si="237"/>
        <v>0.26600231157657805</v>
      </c>
      <c r="AL234" t="str">
        <f t="shared" si="217"/>
        <v>1-0,0185384853247939i</v>
      </c>
      <c r="AM234">
        <f t="shared" si="238"/>
        <v>1.0001718229575045</v>
      </c>
      <c r="AN234">
        <f t="shared" si="239"/>
        <v>-1.853636202192413E-2</v>
      </c>
      <c r="AO234" s="58" t="str">
        <f t="shared" si="240"/>
        <v>1,88955881823162-3,92557843156328i</v>
      </c>
      <c r="AP234">
        <f t="shared" si="241"/>
        <v>12.783099037090324</v>
      </c>
      <c r="AQ234" s="60">
        <f t="shared" si="242"/>
        <v>-64.296379686458948</v>
      </c>
      <c r="AR234" t="str">
        <f t="shared" si="218"/>
        <v>-1,05811623246493</v>
      </c>
      <c r="AS234" t="str">
        <f t="shared" si="219"/>
        <v>1+0,268535568617171i</v>
      </c>
      <c r="AT234">
        <f t="shared" si="243"/>
        <v>1.0354281006484938</v>
      </c>
      <c r="AU234">
        <f t="shared" si="244"/>
        <v>0.26234640398493481</v>
      </c>
      <c r="AV234" t="str">
        <f t="shared" si="220"/>
        <v>1+0,268535568617171i</v>
      </c>
      <c r="AW234">
        <f t="shared" si="245"/>
        <v>1.0354281006484938</v>
      </c>
      <c r="AX234">
        <f t="shared" si="246"/>
        <v>0.26234640398493481</v>
      </c>
      <c r="AY234" t="str">
        <f t="shared" si="221"/>
        <v>1-0,0947902193576221i</v>
      </c>
      <c r="AZ234">
        <f t="shared" si="247"/>
        <v>1.0044825462325695</v>
      </c>
      <c r="BA234">
        <f t="shared" si="248"/>
        <v>-9.4507837579075202E-2</v>
      </c>
      <c r="BB234" s="58" t="str">
        <f t="shared" si="249"/>
        <v>-0,961823940375664+0,358583008519598i</v>
      </c>
      <c r="BC234">
        <f t="shared" si="250"/>
        <v>0.22711649237468715</v>
      </c>
      <c r="BD234" s="60">
        <f t="shared" si="251"/>
        <v>159.55375805704028</v>
      </c>
      <c r="BE234" s="58" t="str">
        <f t="shared" si="252"/>
        <v>0,212323793441279+1,46281646907818i</v>
      </c>
      <c r="BF234" s="37">
        <f t="shared" si="253"/>
        <v>3.3943423126997176</v>
      </c>
      <c r="BG234" s="60">
        <f t="shared" si="254"/>
        <v>81.741349652859881</v>
      </c>
      <c r="BH234" s="58" t="str">
        <f t="shared" si="255"/>
        <v>-0,409777183953514+4,45327900111614i</v>
      </c>
      <c r="BI234" s="37">
        <f t="shared" si="256"/>
        <v>13.010215529465007</v>
      </c>
      <c r="BJ234" s="60">
        <f t="shared" si="257"/>
        <v>95.257378370581321</v>
      </c>
      <c r="BK234">
        <f t="shared" si="258"/>
        <v>3.3943423126997176</v>
      </c>
      <c r="BL234" s="60">
        <f t="shared" si="259"/>
        <v>81.741349652859881</v>
      </c>
      <c r="BN234">
        <f t="shared" si="260"/>
        <v>0</v>
      </c>
      <c r="BO234">
        <f t="shared" si="261"/>
        <v>0</v>
      </c>
    </row>
    <row r="235" spans="13:67" x14ac:dyDescent="0.25">
      <c r="M235" s="66">
        <v>17</v>
      </c>
      <c r="N235" s="36">
        <f t="shared" si="262"/>
        <v>1479.1083881682086</v>
      </c>
      <c r="O235" s="91" t="str">
        <f t="shared" si="210"/>
        <v>13,7404580152672</v>
      </c>
      <c r="P235" s="67" t="str">
        <f t="shared" si="211"/>
        <v>1+10,0369930596457i</v>
      </c>
      <c r="Q235" s="67">
        <f t="shared" si="222"/>
        <v>10.086685762894371</v>
      </c>
      <c r="R235" s="67">
        <f t="shared" si="223"/>
        <v>1.4714926055785797</v>
      </c>
      <c r="S235" s="67" t="str">
        <f t="shared" si="212"/>
        <v>1+0,278805362767937i</v>
      </c>
      <c r="T235" s="67">
        <f t="shared" si="224"/>
        <v>1.0381389263042595</v>
      </c>
      <c r="U235" s="67">
        <f t="shared" si="225"/>
        <v>0.2719005730692563</v>
      </c>
      <c r="V235" t="str">
        <f t="shared" si="213"/>
        <v>1-0,0580844505766536i</v>
      </c>
      <c r="W235" s="67">
        <f t="shared" si="226"/>
        <v>1.0016854812758302</v>
      </c>
      <c r="X235" s="67">
        <f t="shared" si="227"/>
        <v>-5.8019260649733319E-2</v>
      </c>
      <c r="Y235" t="str">
        <f t="shared" si="214"/>
        <v>0,999859983256067+0,100786128593465i</v>
      </c>
      <c r="Z235" s="67">
        <f t="shared" si="228"/>
        <v>1.0049267783444129</v>
      </c>
      <c r="AA235" s="67">
        <f t="shared" si="229"/>
        <v>0.10046090867735988</v>
      </c>
      <c r="AB235" s="92" t="str">
        <f t="shared" si="230"/>
        <v>0,297605894233023-1,3778561799294i</v>
      </c>
      <c r="AC235" s="37">
        <f t="shared" si="231"/>
        <v>2.9821030800453268</v>
      </c>
      <c r="AD235" s="60">
        <f t="shared" si="232"/>
        <v>-77.811805439265555</v>
      </c>
      <c r="AE235" t="str">
        <f t="shared" si="233"/>
        <v>21,0353732052265</v>
      </c>
      <c r="AF235" t="str">
        <f t="shared" si="215"/>
        <v>1+5,01849652982287i</v>
      </c>
      <c r="AG235">
        <f t="shared" si="234"/>
        <v>5.1171581390303142</v>
      </c>
      <c r="AH235">
        <f t="shared" si="235"/>
        <v>1.374109650303236</v>
      </c>
      <c r="AI235" t="str">
        <f t="shared" si="216"/>
        <v>1+0,278805362767937i</v>
      </c>
      <c r="AJ235">
        <f t="shared" si="236"/>
        <v>1.0381389263042595</v>
      </c>
      <c r="AK235">
        <f t="shared" si="237"/>
        <v>0.2719005730692563</v>
      </c>
      <c r="AL235" t="str">
        <f t="shared" si="217"/>
        <v>1-0,0189703021203612i</v>
      </c>
      <c r="AM235">
        <f t="shared" si="238"/>
        <v>1.0001799199956665</v>
      </c>
      <c r="AN235">
        <f t="shared" si="239"/>
        <v>-1.8968026982449183E-2</v>
      </c>
      <c r="AO235" s="58" t="str">
        <f t="shared" si="240"/>
        <v>1,85510001204525-3,84408550039901i</v>
      </c>
      <c r="AP235">
        <f t="shared" si="241"/>
        <v>12.605099801914097</v>
      </c>
      <c r="AQ235" s="60">
        <f t="shared" si="242"/>
        <v>-64.238716158300576</v>
      </c>
      <c r="AR235" t="str">
        <f t="shared" si="218"/>
        <v>-1,05811623246493</v>
      </c>
      <c r="AS235" t="str">
        <f t="shared" si="219"/>
        <v>1+0,274790565544079i</v>
      </c>
      <c r="AT235">
        <f t="shared" si="243"/>
        <v>1.0370679123914859</v>
      </c>
      <c r="AU235">
        <f t="shared" si="244"/>
        <v>0.26817149093559323</v>
      </c>
      <c r="AV235" t="str">
        <f t="shared" si="220"/>
        <v>1+0,274790565544079i</v>
      </c>
      <c r="AW235">
        <f t="shared" si="245"/>
        <v>1.0370679123914859</v>
      </c>
      <c r="AX235">
        <f t="shared" si="246"/>
        <v>0.26817149093559323</v>
      </c>
      <c r="AY235" t="str">
        <f t="shared" si="221"/>
        <v>1-0,0926325305388344i</v>
      </c>
      <c r="AZ235">
        <f t="shared" si="247"/>
        <v>1.004281228398713</v>
      </c>
      <c r="BA235">
        <f t="shared" si="248"/>
        <v>-9.2368933039719353E-2</v>
      </c>
      <c r="BB235" s="58" t="str">
        <f t="shared" si="249"/>
        <v>-0,958784673166755+0,361480966791931i</v>
      </c>
      <c r="BC235">
        <f t="shared" si="250"/>
        <v>0.21163049870730924</v>
      </c>
      <c r="BD235" s="60">
        <f t="shared" si="251"/>
        <v>159.3425553623573</v>
      </c>
      <c r="BE235" s="58" t="str">
        <f t="shared" si="252"/>
        <v>0,212728813986407+1,42864625351473i</v>
      </c>
      <c r="BF235" s="37">
        <f t="shared" si="253"/>
        <v>3.1937335787526147</v>
      </c>
      <c r="BG235" s="60">
        <f t="shared" si="254"/>
        <v>81.530749923091733</v>
      </c>
      <c r="BH235" s="58" t="str">
        <f t="shared" si="255"/>
        <v>-0,38907771562537+4,35623360597497i</v>
      </c>
      <c r="BI235" s="37">
        <f t="shared" si="256"/>
        <v>12.816730300621415</v>
      </c>
      <c r="BJ235" s="60">
        <f t="shared" si="257"/>
        <v>95.103839204056712</v>
      </c>
      <c r="BK235">
        <f t="shared" si="258"/>
        <v>3.1937335787526147</v>
      </c>
      <c r="BL235" s="60">
        <f t="shared" si="259"/>
        <v>81.530749923091733</v>
      </c>
      <c r="BN235">
        <f t="shared" si="260"/>
        <v>0</v>
      </c>
      <c r="BO235">
        <f t="shared" si="261"/>
        <v>0</v>
      </c>
    </row>
    <row r="236" spans="13:67" x14ac:dyDescent="0.25">
      <c r="M236" s="66">
        <v>18</v>
      </c>
      <c r="N236" s="36">
        <f t="shared" si="262"/>
        <v>1513.5612484362093</v>
      </c>
      <c r="O236" s="91" t="str">
        <f t="shared" si="210"/>
        <v>13,7404580152672</v>
      </c>
      <c r="P236" s="67" t="str">
        <f t="shared" si="211"/>
        <v>1+10,270784661506i</v>
      </c>
      <c r="Q236" s="67">
        <f t="shared" si="222"/>
        <v>10.319351605746695</v>
      </c>
      <c r="R236" s="67">
        <f t="shared" si="223"/>
        <v>1.4737387018680792</v>
      </c>
      <c r="S236" s="67" t="str">
        <f t="shared" si="212"/>
        <v>1+0,285299573930724i</v>
      </c>
      <c r="T236" s="67">
        <f t="shared" si="224"/>
        <v>1.0399018448320267</v>
      </c>
      <c r="U236" s="67">
        <f t="shared" si="225"/>
        <v>0.27791620423674346</v>
      </c>
      <c r="V236" t="str">
        <f t="shared" si="213"/>
        <v>1-0,0594374112355674i</v>
      </c>
      <c r="W236" s="67">
        <f t="shared" si="226"/>
        <v>1.0017648455872197</v>
      </c>
      <c r="X236" s="67">
        <f t="shared" si="227"/>
        <v>-5.9367565615049162E-2</v>
      </c>
      <c r="Y236" t="str">
        <f t="shared" si="214"/>
        <v>0,999853384470223+0,103133739108799i</v>
      </c>
      <c r="Z236" s="67">
        <f t="shared" si="228"/>
        <v>1.0051583748738908</v>
      </c>
      <c r="AA236" s="67">
        <f t="shared" si="229"/>
        <v>0.10278535618517418</v>
      </c>
      <c r="AB236" s="92" t="str">
        <f t="shared" si="230"/>
        <v>0,29147638086214-1,34884514567703i</v>
      </c>
      <c r="AC236" s="37">
        <f t="shared" si="231"/>
        <v>2.7974487914161172</v>
      </c>
      <c r="AD236" s="60">
        <f t="shared" si="232"/>
        <v>-77.806260215936078</v>
      </c>
      <c r="AE236" t="str">
        <f t="shared" si="233"/>
        <v>21,0353732052265</v>
      </c>
      <c r="AF236" t="str">
        <f t="shared" si="215"/>
        <v>1+5,13539233075303i</v>
      </c>
      <c r="AG236">
        <f t="shared" si="234"/>
        <v>5.2318499969663721</v>
      </c>
      <c r="AH236">
        <f t="shared" si="235"/>
        <v>1.3784759764100565</v>
      </c>
      <c r="AI236" t="str">
        <f t="shared" si="216"/>
        <v>1+0,285299573930724i</v>
      </c>
      <c r="AJ236">
        <f t="shared" si="236"/>
        <v>1.0399018448320267</v>
      </c>
      <c r="AK236">
        <f t="shared" si="237"/>
        <v>0.27791620423674346</v>
      </c>
      <c r="AL236" t="str">
        <f t="shared" si="217"/>
        <v>1-0,0194121772212144i</v>
      </c>
      <c r="AM236">
        <f t="shared" si="238"/>
        <v>1.0001883985652242</v>
      </c>
      <c r="AN236">
        <f t="shared" si="239"/>
        <v>-1.9409739391819888E-2</v>
      </c>
      <c r="AO236" s="58" t="str">
        <f t="shared" si="240"/>
        <v>1,82207611807181-3,76403510244359i</v>
      </c>
      <c r="AP236">
        <f t="shared" si="241"/>
        <v>12.427381984334037</v>
      </c>
      <c r="AQ236" s="60">
        <f t="shared" si="242"/>
        <v>-64.169526196010409</v>
      </c>
      <c r="AR236" t="str">
        <f t="shared" si="218"/>
        <v>-1,05811623246493</v>
      </c>
      <c r="AS236" t="str">
        <f t="shared" si="219"/>
        <v>1+0,281191260066121i</v>
      </c>
      <c r="AT236">
        <f t="shared" si="243"/>
        <v>1.0387822316239208</v>
      </c>
      <c r="AU236">
        <f t="shared" si="244"/>
        <v>0.27411301617566408</v>
      </c>
      <c r="AV236" t="str">
        <f t="shared" si="220"/>
        <v>1+0,281191260066121i</v>
      </c>
      <c r="AW236">
        <f t="shared" si="245"/>
        <v>1.0387822316239208</v>
      </c>
      <c r="AX236">
        <f t="shared" si="246"/>
        <v>0.27411301617566408</v>
      </c>
      <c r="AY236" t="str">
        <f t="shared" si="221"/>
        <v>1-0,0905239567138748i</v>
      </c>
      <c r="AZ236">
        <f t="shared" si="247"/>
        <v>1.004088933680247</v>
      </c>
      <c r="BA236">
        <f t="shared" si="248"/>
        <v>-9.02778965970681E-2</v>
      </c>
      <c r="BB236" s="58" t="str">
        <f t="shared" si="249"/>
        <v>-0,955622688540786+0,364497615964462i</v>
      </c>
      <c r="BC236">
        <f t="shared" si="250"/>
        <v>0.19562090266040219</v>
      </c>
      <c r="BD236" s="60">
        <f t="shared" si="251"/>
        <v>159.1219386052027</v>
      </c>
      <c r="BE236" s="58" t="str">
        <f t="shared" si="252"/>
        <v>0,213109397178899+1,39522947047127i</v>
      </c>
      <c r="BF236" s="37">
        <f t="shared" si="253"/>
        <v>2.9930696940765116</v>
      </c>
      <c r="BG236" s="60">
        <f t="shared" si="254"/>
        <v>81.315678389266594</v>
      </c>
      <c r="BH236" s="58" t="str">
        <f t="shared" si="255"/>
        <v>-0,369235457430503+4,26113974550199i</v>
      </c>
      <c r="BI236" s="37">
        <f t="shared" si="256"/>
        <v>12.623002886994431</v>
      </c>
      <c r="BJ236" s="60">
        <f t="shared" si="257"/>
        <v>94.952412409192277</v>
      </c>
      <c r="BK236">
        <f t="shared" si="258"/>
        <v>2.9930696940765116</v>
      </c>
      <c r="BL236" s="60">
        <f t="shared" si="259"/>
        <v>81.315678389266594</v>
      </c>
      <c r="BN236">
        <f t="shared" si="260"/>
        <v>0</v>
      </c>
      <c r="BO236">
        <f t="shared" si="261"/>
        <v>0</v>
      </c>
    </row>
    <row r="237" spans="13:67" x14ac:dyDescent="0.25">
      <c r="M237" s="66">
        <v>19</v>
      </c>
      <c r="N237" s="36">
        <f t="shared" si="262"/>
        <v>1548.8166189124822</v>
      </c>
      <c r="O237" s="91" t="str">
        <f t="shared" si="210"/>
        <v>13,7404580152672</v>
      </c>
      <c r="P237" s="67" t="str">
        <f t="shared" si="211"/>
        <v>1+10,5100219693438i</v>
      </c>
      <c r="Q237" s="67">
        <f t="shared" si="222"/>
        <v>10.557488422730536</v>
      </c>
      <c r="R237" s="67">
        <f t="shared" si="223"/>
        <v>1.4759346204391701</v>
      </c>
      <c r="S237" s="67" t="str">
        <f t="shared" si="212"/>
        <v>1+0,291945054703994i</v>
      </c>
      <c r="T237" s="67">
        <f t="shared" si="224"/>
        <v>1.041744649598028</v>
      </c>
      <c r="U237" s="67">
        <f t="shared" si="225"/>
        <v>0.28405065242059091</v>
      </c>
      <c r="V237" t="str">
        <f t="shared" si="213"/>
        <v>1-0,0608218863966654i</v>
      </c>
      <c r="W237" s="67">
        <f t="shared" si="226"/>
        <v>1.0018479434848628</v>
      </c>
      <c r="X237" s="67">
        <f t="shared" si="227"/>
        <v>-6.0747052919624081E-2</v>
      </c>
      <c r="Y237" t="str">
        <f t="shared" si="214"/>
        <v>0,999846474693183+0,105536032497746i</v>
      </c>
      <c r="Z237" s="67">
        <f t="shared" si="228"/>
        <v>1.0054008290785079</v>
      </c>
      <c r="AA237" s="67">
        <f t="shared" si="229"/>
        <v>0.10516284166558162</v>
      </c>
      <c r="AB237" s="92" t="str">
        <f t="shared" si="230"/>
        <v>0,285601247037605-1,32049588958461i</v>
      </c>
      <c r="AC237" s="37">
        <f t="shared" si="231"/>
        <v>2.6132889241202832</v>
      </c>
      <c r="AD237" s="60">
        <f t="shared" si="232"/>
        <v>-77.795857775962872</v>
      </c>
      <c r="AE237" t="str">
        <f t="shared" si="233"/>
        <v>21,0353732052265</v>
      </c>
      <c r="AF237" t="str">
        <f t="shared" si="215"/>
        <v>1+5,2550109846719i</v>
      </c>
      <c r="AG237">
        <f t="shared" si="234"/>
        <v>5.3493121472785949</v>
      </c>
      <c r="AH237">
        <f t="shared" si="235"/>
        <v>1.3827500993358657</v>
      </c>
      <c r="AI237" t="str">
        <f t="shared" si="216"/>
        <v>1+0,291945054703994i</v>
      </c>
      <c r="AJ237">
        <f t="shared" si="236"/>
        <v>1.041744649598028</v>
      </c>
      <c r="AK237">
        <f t="shared" si="237"/>
        <v>0.28405065242059091</v>
      </c>
      <c r="AL237" t="str">
        <f t="shared" si="217"/>
        <v>1-0,0198643449153807i</v>
      </c>
      <c r="AM237">
        <f t="shared" si="238"/>
        <v>1.0001972766404221</v>
      </c>
      <c r="AN237">
        <f t="shared" si="239"/>
        <v>-1.98617327619473E-2</v>
      </c>
      <c r="AO237" s="58" t="str">
        <f t="shared" si="240"/>
        <v>1,79043221275527-3,68542167299298i</v>
      </c>
      <c r="AP237">
        <f t="shared" si="241"/>
        <v>12.249984539201597</v>
      </c>
      <c r="AQ237" s="60">
        <f t="shared" si="242"/>
        <v>-64.088834722679394</v>
      </c>
      <c r="AR237" t="str">
        <f t="shared" si="218"/>
        <v>-1,05811623246493</v>
      </c>
      <c r="AS237" t="str">
        <f t="shared" si="219"/>
        <v>1+0,287741045916257i</v>
      </c>
      <c r="AT237">
        <f t="shared" si="243"/>
        <v>1.0405743171465369</v>
      </c>
      <c r="AU237">
        <f t="shared" si="244"/>
        <v>0.28017245134428825</v>
      </c>
      <c r="AV237" t="str">
        <f t="shared" si="220"/>
        <v>1+0,287741045916257i</v>
      </c>
      <c r="AW237">
        <f t="shared" si="245"/>
        <v>1.0405743171465369</v>
      </c>
      <c r="AX237">
        <f t="shared" si="246"/>
        <v>0.28017245134428825</v>
      </c>
      <c r="AY237" t="str">
        <f t="shared" si="221"/>
        <v>1-0,0884633798889911i</v>
      </c>
      <c r="AZ237">
        <f t="shared" si="247"/>
        <v>1.0039052592657256</v>
      </c>
      <c r="BA237">
        <f t="shared" si="248"/>
        <v>-8.8233692739682748E-2</v>
      </c>
      <c r="BB237" s="58" t="str">
        <f t="shared" si="249"/>
        <v>-0,952333960639769+0,367630108135312i</v>
      </c>
      <c r="BC237">
        <f t="shared" si="250"/>
        <v>0.1790600729271436</v>
      </c>
      <c r="BD237" s="60">
        <f t="shared" si="251"/>
        <v>158.89188279729996</v>
      </c>
      <c r="BE237" s="58" t="str">
        <f t="shared" si="252"/>
        <v>0,213466279925246+1,36254869786866i</v>
      </c>
      <c r="BF237" s="37">
        <f t="shared" si="253"/>
        <v>2.7923489970474176</v>
      </c>
      <c r="BG237" s="60">
        <f t="shared" si="254"/>
        <v>81.096025021337056</v>
      </c>
      <c r="BH237" s="58" t="str">
        <f t="shared" si="255"/>
        <v>-0,35021743226362+4,16796900645321i</v>
      </c>
      <c r="BI237" s="37">
        <f t="shared" si="256"/>
        <v>12.429044612128733</v>
      </c>
      <c r="BJ237" s="60">
        <f t="shared" si="257"/>
        <v>94.803048074620563</v>
      </c>
      <c r="BK237">
        <f t="shared" si="258"/>
        <v>2.7923489970474176</v>
      </c>
      <c r="BL237" s="60">
        <f t="shared" si="259"/>
        <v>81.096025021337056</v>
      </c>
      <c r="BN237">
        <f t="shared" si="260"/>
        <v>0</v>
      </c>
      <c r="BO237">
        <f t="shared" si="261"/>
        <v>0</v>
      </c>
    </row>
    <row r="238" spans="13:67" x14ac:dyDescent="0.25">
      <c r="M238" s="66">
        <v>20</v>
      </c>
      <c r="N238" s="36">
        <f t="shared" si="262"/>
        <v>1584.8931924611156</v>
      </c>
      <c r="O238" s="91" t="str">
        <f t="shared" si="210"/>
        <v>13,7404580152672</v>
      </c>
      <c r="P238" s="67" t="str">
        <f t="shared" si="211"/>
        <v>1+10,7548318299463i</v>
      </c>
      <c r="Q238" s="67">
        <f t="shared" si="222"/>
        <v>10.801222509069335</v>
      </c>
      <c r="R238" s="67">
        <f t="shared" si="223"/>
        <v>1.4780814408395422</v>
      </c>
      <c r="S238" s="67" t="str">
        <f t="shared" si="212"/>
        <v>1+0,298745328609619i</v>
      </c>
      <c r="T238" s="67">
        <f t="shared" si="224"/>
        <v>1.0436708156148036</v>
      </c>
      <c r="U238" s="67">
        <f t="shared" si="225"/>
        <v>0.29030532268752124</v>
      </c>
      <c r="V238" t="str">
        <f t="shared" si="213"/>
        <v>1-0,0622386101270039i</v>
      </c>
      <c r="W238" s="67">
        <f t="shared" si="226"/>
        <v>1.0019349502789796</v>
      </c>
      <c r="X238" s="67">
        <f t="shared" si="227"/>
        <v>-6.2158432972869951E-2</v>
      </c>
      <c r="Y238" t="str">
        <f t="shared" si="214"/>
        <v>0,999839239268383+0,107994282488057i</v>
      </c>
      <c r="Z238" s="67">
        <f t="shared" si="228"/>
        <v>1.0056546471979777</v>
      </c>
      <c r="AA238" s="67">
        <f t="shared" si="229"/>
        <v>0.10759452261924875</v>
      </c>
      <c r="AB238" s="92" t="str">
        <f t="shared" si="230"/>
        <v>0,27996871453647-1,29279664743875i</v>
      </c>
      <c r="AC238" s="37">
        <f t="shared" si="231"/>
        <v>2.4296499489248444</v>
      </c>
      <c r="AD238" s="60">
        <f t="shared" si="232"/>
        <v>-77.780686491843127</v>
      </c>
      <c r="AE238" t="str">
        <f t="shared" si="233"/>
        <v>21,0353732052265</v>
      </c>
      <c r="AF238" t="str">
        <f t="shared" si="215"/>
        <v>1+5,37741591497315i</v>
      </c>
      <c r="AG238">
        <f t="shared" si="234"/>
        <v>5.4696071086145217</v>
      </c>
      <c r="AH238">
        <f t="shared" si="235"/>
        <v>1.386933660333703</v>
      </c>
      <c r="AI238" t="str">
        <f t="shared" si="216"/>
        <v>1+0,298745328609619i</v>
      </c>
      <c r="AJ238">
        <f t="shared" si="236"/>
        <v>1.0436708156148036</v>
      </c>
      <c r="AK238">
        <f t="shared" si="237"/>
        <v>0.29030532268752124</v>
      </c>
      <c r="AL238" t="str">
        <f t="shared" si="217"/>
        <v>1-0,020327044948157i</v>
      </c>
      <c r="AM238">
        <f t="shared" si="238"/>
        <v>1.0002065730419514</v>
      </c>
      <c r="AN238">
        <f t="shared" si="239"/>
        <v>-2.0324246006545001E-2</v>
      </c>
      <c r="AO238" s="58" t="str">
        <f t="shared" si="240"/>
        <v>1,76011506214282-3,60823824337331i</v>
      </c>
      <c r="AP238">
        <f t="shared" si="241"/>
        <v>12.072946677891876</v>
      </c>
      <c r="AQ238" s="60">
        <f t="shared" si="242"/>
        <v>-63.996668959534375</v>
      </c>
      <c r="AR238" t="str">
        <f t="shared" si="218"/>
        <v>-1,05811623246493</v>
      </c>
      <c r="AS238" t="str">
        <f t="shared" si="219"/>
        <v>1+0,294443395877641i</v>
      </c>
      <c r="AT238">
        <f t="shared" si="243"/>
        <v>1.0424475590531914</v>
      </c>
      <c r="AU238">
        <f t="shared" si="244"/>
        <v>0.28635122867630536</v>
      </c>
      <c r="AV238" t="str">
        <f t="shared" si="220"/>
        <v>1+0,294443395877641i</v>
      </c>
      <c r="AW238">
        <f t="shared" si="245"/>
        <v>1.0424475590531914</v>
      </c>
      <c r="AX238">
        <f t="shared" si="246"/>
        <v>0.28635122867630536</v>
      </c>
      <c r="AY238" t="str">
        <f t="shared" si="221"/>
        <v>1-0,0864497075190757i</v>
      </c>
      <c r="AZ238">
        <f t="shared" si="247"/>
        <v>1.0037298201857578</v>
      </c>
      <c r="BA238">
        <f t="shared" si="248"/>
        <v>-8.6235305979503435E-2</v>
      </c>
      <c r="BB238" s="58" t="str">
        <f t="shared" si="249"/>
        <v>-0,948914413979483+0,37087542126714i</v>
      </c>
      <c r="BC238">
        <f t="shared" si="250"/>
        <v>0.16191974234914738</v>
      </c>
      <c r="BD238" s="60">
        <f t="shared" si="251"/>
        <v>158.65236406081738</v>
      </c>
      <c r="BE238" s="58" t="str">
        <f t="shared" si="252"/>
        <v>0,213800152544629+1,33058688804431i</v>
      </c>
      <c r="BF238" s="37">
        <f t="shared" si="253"/>
        <v>2.5915696912739588</v>
      </c>
      <c r="BG238" s="60">
        <f t="shared" si="254"/>
        <v>80.871677568974235</v>
      </c>
      <c r="BH238" s="58" t="str">
        <f t="shared" si="255"/>
        <v>-0,331991674186434+4,0766926933598i</v>
      </c>
      <c r="BI238" s="37">
        <f t="shared" si="256"/>
        <v>12.234866420241023</v>
      </c>
      <c r="BJ238" s="60">
        <f t="shared" si="257"/>
        <v>94.655695101283015</v>
      </c>
      <c r="BK238">
        <f t="shared" si="258"/>
        <v>2.5915696912739588</v>
      </c>
      <c r="BL238" s="60">
        <f t="shared" si="259"/>
        <v>80.871677568974235</v>
      </c>
      <c r="BN238">
        <f t="shared" si="260"/>
        <v>0</v>
      </c>
      <c r="BO238">
        <f t="shared" si="261"/>
        <v>0</v>
      </c>
    </row>
    <row r="239" spans="13:67" x14ac:dyDescent="0.25">
      <c r="M239" s="66">
        <v>21</v>
      </c>
      <c r="N239" s="36">
        <f t="shared" si="262"/>
        <v>1621.8100973589308</v>
      </c>
      <c r="O239" s="91" t="str">
        <f t="shared" si="210"/>
        <v>13,7404580152672</v>
      </c>
      <c r="P239" s="67" t="str">
        <f t="shared" si="211"/>
        <v>1+11,005344044742i</v>
      </c>
      <c r="Q239" s="67">
        <f t="shared" si="222"/>
        <v>11.050683125632469</v>
      </c>
      <c r="R239" s="67">
        <f t="shared" si="223"/>
        <v>1.4801802221433618</v>
      </c>
      <c r="S239" s="67" t="str">
        <f t="shared" si="212"/>
        <v>1+0,305704001242833i</v>
      </c>
      <c r="T239" s="67">
        <f t="shared" si="224"/>
        <v>1.0456839562582367</v>
      </c>
      <c r="U239" s="67">
        <f t="shared" si="225"/>
        <v>0.29668157309843018</v>
      </c>
      <c r="V239" t="str">
        <f t="shared" si="213"/>
        <v>1-0,0636883335922569i</v>
      </c>
      <c r="W239" s="67">
        <f t="shared" si="226"/>
        <v>1.0020260494796323</v>
      </c>
      <c r="X239" s="67">
        <f t="shared" si="227"/>
        <v>-6.360243160279426E-2</v>
      </c>
      <c r="Y239" t="str">
        <f t="shared" si="214"/>
        <v>0,999831662848519+0,110509792476417i</v>
      </c>
      <c r="Z239" s="67">
        <f t="shared" si="228"/>
        <v>1.0059203588095906</v>
      </c>
      <c r="AA239" s="67">
        <f t="shared" si="229"/>
        <v>0.11008157807376963</v>
      </c>
      <c r="AB239" s="92" t="str">
        <f t="shared" si="230"/>
        <v>0,274567465139147-1,26573577181689i</v>
      </c>
      <c r="AC239" s="37">
        <f t="shared" si="231"/>
        <v>2.2465588478878358</v>
      </c>
      <c r="AD239" s="60">
        <f t="shared" si="232"/>
        <v>-77.76083837308569</v>
      </c>
      <c r="AE239" t="str">
        <f t="shared" si="233"/>
        <v>21,0353732052265</v>
      </c>
      <c r="AF239" t="str">
        <f t="shared" si="215"/>
        <v>1+5,502672022371i</v>
      </c>
      <c r="AG239">
        <f t="shared" si="234"/>
        <v>5.5927988865848333</v>
      </c>
      <c r="AH239">
        <f t="shared" si="235"/>
        <v>1.3910282915261731</v>
      </c>
      <c r="AI239" t="str">
        <f t="shared" si="216"/>
        <v>1+0,305704001242833i</v>
      </c>
      <c r="AJ239">
        <f t="shared" si="236"/>
        <v>1.0456839562582367</v>
      </c>
      <c r="AK239">
        <f t="shared" si="237"/>
        <v>0.29668157309843018</v>
      </c>
      <c r="AL239" t="str">
        <f t="shared" si="217"/>
        <v>1-0,0208005226492249i</v>
      </c>
      <c r="AM239">
        <f t="shared" si="238"/>
        <v>1.0002163074767783</v>
      </c>
      <c r="AN239">
        <f t="shared" si="239"/>
        <v>-2.0797523564282026E-2</v>
      </c>
      <c r="AO239" s="58" t="str">
        <f t="shared" si="240"/>
        <v>1,73107310649701-3,53247655211615i</v>
      </c>
      <c r="AP239">
        <f t="shared" si="241"/>
        <v>11.896307893496685</v>
      </c>
      <c r="AQ239" s="60">
        <f t="shared" si="242"/>
        <v>-63.893058614458404</v>
      </c>
      <c r="AR239" t="str">
        <f t="shared" si="218"/>
        <v>-1,05811623246493</v>
      </c>
      <c r="AS239" t="str">
        <f t="shared" si="219"/>
        <v>1+0,301301863624936i</v>
      </c>
      <c r="AT239">
        <f t="shared" si="243"/>
        <v>1.0444054830495</v>
      </c>
      <c r="AU239">
        <f t="shared" si="244"/>
        <v>0.29265073640581662</v>
      </c>
      <c r="AV239" t="str">
        <f t="shared" si="220"/>
        <v>1+0,301301863624936i</v>
      </c>
      <c r="AW239">
        <f t="shared" si="245"/>
        <v>1.0444054830495</v>
      </c>
      <c r="AX239">
        <f t="shared" si="246"/>
        <v>0.29265073640581662</v>
      </c>
      <c r="AY239" t="str">
        <f t="shared" si="221"/>
        <v>1-0,0844818719283845i</v>
      </c>
      <c r="AZ239">
        <f t="shared" si="247"/>
        <v>1.0035622485349496</v>
      </c>
      <c r="BA239">
        <f t="shared" si="248"/>
        <v>-8.4281740626075755E-2</v>
      </c>
      <c r="BB239" s="58" t="str">
        <f t="shared" si="249"/>
        <v>-0,945359930883788+0,374230349008073i</v>
      </c>
      <c r="BC239">
        <f t="shared" si="250"/>
        <v>0.14417099268029129</v>
      </c>
      <c r="BD239" s="60">
        <f t="shared" si="251"/>
        <v>158.40335990466073</v>
      </c>
      <c r="BE239" s="58" t="str">
        <f t="shared" si="252"/>
        <v>0,214111659772157+1,29932736006724i</v>
      </c>
      <c r="BF239" s="37">
        <f t="shared" si="253"/>
        <v>2.3907298405681381</v>
      </c>
      <c r="BG239" s="60">
        <f t="shared" si="254"/>
        <v>80.642521531575042</v>
      </c>
      <c r="BH239" s="58" t="str">
        <f t="shared" si="255"/>
        <v>-0,314527219351536+3,98728188195999i</v>
      </c>
      <c r="BI239" s="37">
        <f t="shared" si="256"/>
        <v>12.040478886176974</v>
      </c>
      <c r="BJ239" s="60">
        <f t="shared" si="257"/>
        <v>94.510301290202307</v>
      </c>
      <c r="BK239">
        <f t="shared" si="258"/>
        <v>2.3907298405681381</v>
      </c>
      <c r="BL239" s="60">
        <f t="shared" si="259"/>
        <v>80.642521531575042</v>
      </c>
      <c r="BN239">
        <f t="shared" si="260"/>
        <v>0</v>
      </c>
      <c r="BO239">
        <f t="shared" si="261"/>
        <v>0</v>
      </c>
    </row>
    <row r="240" spans="13:67" x14ac:dyDescent="0.25">
      <c r="M240" s="66">
        <v>22</v>
      </c>
      <c r="N240" s="36">
        <f t="shared" si="262"/>
        <v>1659.5869074375626</v>
      </c>
      <c r="O240" s="91" t="str">
        <f t="shared" si="210"/>
        <v>13,7404580152672</v>
      </c>
      <c r="P240" s="67" t="str">
        <f t="shared" si="211"/>
        <v>1+11,2616914386232i</v>
      </c>
      <c r="Q240" s="67">
        <f t="shared" si="222"/>
        <v>11.306002567608019</v>
      </c>
      <c r="R240" s="67">
        <f t="shared" si="223"/>
        <v>1.4822320031523111</v>
      </c>
      <c r="S240" s="67" t="str">
        <f t="shared" si="212"/>
        <v>1+0,312824762183979i</v>
      </c>
      <c r="T240" s="67">
        <f t="shared" si="224"/>
        <v>1.0477878276805199</v>
      </c>
      <c r="U240" s="67">
        <f t="shared" si="225"/>
        <v>0.30318070976438583</v>
      </c>
      <c r="V240" t="str">
        <f t="shared" si="213"/>
        <v>1-0,0651718254549956i</v>
      </c>
      <c r="W240" s="67">
        <f t="shared" si="226"/>
        <v>1.0021214331772055</v>
      </c>
      <c r="X240" s="67">
        <f t="shared" si="227"/>
        <v>-6.5079790335575288E-2</v>
      </c>
      <c r="Y240" t="str">
        <f t="shared" si="214"/>
        <v>0,999823729362986+0,113083896219518i</v>
      </c>
      <c r="Z240" s="67">
        <f t="shared" si="228"/>
        <v>1.0061985178788011</v>
      </c>
      <c r="AA240" s="67">
        <f t="shared" si="229"/>
        <v>0.11262520871285139</v>
      </c>
      <c r="AB240" s="92" t="str">
        <f t="shared" si="230"/>
        <v>0,269386621727441-1,23930173930756i</v>
      </c>
      <c r="AC240" s="37">
        <f t="shared" si="231"/>
        <v>2.0640431224929947</v>
      </c>
      <c r="AD240" s="60">
        <f t="shared" si="232"/>
        <v>-77.736409384420213</v>
      </c>
      <c r="AE240" t="str">
        <f t="shared" si="233"/>
        <v>21,0353732052265</v>
      </c>
      <c r="AF240" t="str">
        <f t="shared" si="215"/>
        <v>1+5,63084571931163i</v>
      </c>
      <c r="AG240">
        <f t="shared" si="234"/>
        <v>5.7189530086100646</v>
      </c>
      <c r="AH240">
        <f t="shared" si="235"/>
        <v>1.3950356144666514</v>
      </c>
      <c r="AI240" t="str">
        <f t="shared" si="216"/>
        <v>1+0,312824762183979i</v>
      </c>
      <c r="AJ240">
        <f t="shared" si="236"/>
        <v>1.0477878276805199</v>
      </c>
      <c r="AK240">
        <f t="shared" si="237"/>
        <v>0.30318070976438583</v>
      </c>
      <c r="AL240" t="str">
        <f t="shared" si="217"/>
        <v>1-0,021285029062729i</v>
      </c>
      <c r="AM240">
        <f t="shared" si="238"/>
        <v>1.0002265005798443</v>
      </c>
      <c r="AN240">
        <f t="shared" si="239"/>
        <v>-2.1281815524616294E-2</v>
      </c>
      <c r="AO240" s="58" t="str">
        <f t="shared" si="240"/>
        <v>1,70325644123603-3,45812715066621i</v>
      </c>
      <c r="AP240">
        <f t="shared" si="241"/>
        <v>11.72010798423246</v>
      </c>
      <c r="AQ240" s="60">
        <f t="shared" si="242"/>
        <v>-63.778036090034973</v>
      </c>
      <c r="AR240" t="str">
        <f t="shared" si="218"/>
        <v>-1,05811623246493</v>
      </c>
      <c r="AS240" t="str">
        <f t="shared" si="219"/>
        <v>1+0,30832008560853i</v>
      </c>
      <c r="AT240">
        <f t="shared" si="243"/>
        <v>1.046451754831369</v>
      </c>
      <c r="AU240">
        <f t="shared" si="244"/>
        <v>0.29907231395624262</v>
      </c>
      <c r="AV240" t="str">
        <f t="shared" si="220"/>
        <v>1+0,30832008560853i</v>
      </c>
      <c r="AW240">
        <f t="shared" si="245"/>
        <v>1.046451754831369</v>
      </c>
      <c r="AX240">
        <f t="shared" si="246"/>
        <v>0.29907231395624262</v>
      </c>
      <c r="AY240" t="str">
        <f t="shared" si="221"/>
        <v>1-0,0825588297444389i</v>
      </c>
      <c r="AZ240">
        <f t="shared" si="247"/>
        <v>1.0034021927267107</v>
      </c>
      <c r="BA240">
        <f t="shared" si="248"/>
        <v>-8.2372020551286271E-2</v>
      </c>
      <c r="BB240" s="58" t="str">
        <f t="shared" si="249"/>
        <v>-0,941666359766828+0,37769149054388i</v>
      </c>
      <c r="BC240">
        <f t="shared" si="250"/>
        <v>0.12578424112164144</v>
      </c>
      <c r="BD240" s="60">
        <f t="shared" si="251"/>
        <v>158.14484951354223</v>
      </c>
      <c r="BE240" s="58" t="str">
        <f t="shared" si="252"/>
        <v>0,214401401700733+1,26875379219927i</v>
      </c>
      <c r="BF240" s="37">
        <f t="shared" si="253"/>
        <v>2.1898273636146599</v>
      </c>
      <c r="BG240" s="60">
        <f t="shared" si="254"/>
        <v>80.408440129122042</v>
      </c>
      <c r="BH240" s="58" t="str">
        <f t="shared" si="255"/>
        <v>-0,297794094742753+3,89970746964758i</v>
      </c>
      <c r="BI240" s="37">
        <f t="shared" si="256"/>
        <v>11.845892225354092</v>
      </c>
      <c r="BJ240" s="60">
        <f t="shared" si="257"/>
        <v>94.366813423507267</v>
      </c>
      <c r="BK240">
        <f t="shared" si="258"/>
        <v>2.1898273636146599</v>
      </c>
      <c r="BL240" s="60">
        <f t="shared" si="259"/>
        <v>80.408440129122042</v>
      </c>
      <c r="BN240">
        <f t="shared" si="260"/>
        <v>0</v>
      </c>
      <c r="BO240">
        <f t="shared" si="261"/>
        <v>0</v>
      </c>
    </row>
    <row r="241" spans="13:67" x14ac:dyDescent="0.25">
      <c r="M241" s="66">
        <v>23</v>
      </c>
      <c r="N241" s="36">
        <f t="shared" si="262"/>
        <v>1698.2436524617447</v>
      </c>
      <c r="O241" s="91" t="str">
        <f t="shared" si="210"/>
        <v>13,7404580152672</v>
      </c>
      <c r="P241" s="67" t="str">
        <f t="shared" si="211"/>
        <v>1+11,5240099303713i</v>
      </c>
      <c r="Q241" s="67">
        <f t="shared" si="222"/>
        <v>11.567316234775305</v>
      </c>
      <c r="R241" s="67">
        <f t="shared" si="223"/>
        <v>1.4842378026088074</v>
      </c>
      <c r="S241" s="67" t="str">
        <f t="shared" si="212"/>
        <v>1+0,320111386954758i</v>
      </c>
      <c r="T241" s="67">
        <f t="shared" si="224"/>
        <v>1.0499863332720569</v>
      </c>
      <c r="U241" s="67">
        <f t="shared" si="225"/>
        <v>0.30980398169142975</v>
      </c>
      <c r="V241" t="str">
        <f t="shared" si="213"/>
        <v>1-0,0666898722822413i</v>
      </c>
      <c r="W241" s="67">
        <f t="shared" si="226"/>
        <v>1.0022213024402453</v>
      </c>
      <c r="X241" s="67">
        <f t="shared" si="227"/>
        <v>-6.6591266676096397E-2</v>
      </c>
      <c r="Y241" t="str">
        <f t="shared" si="214"/>
        <v>0,9998154219838+0,115717958541236i</v>
      </c>
      <c r="Z241" s="67">
        <f t="shared" si="228"/>
        <v>1.0064897038547365</v>
      </c>
      <c r="AA241" s="67">
        <f t="shared" si="229"/>
        <v>0.11522663698384301</v>
      </c>
      <c r="AB241" s="92" t="str">
        <f t="shared" si="230"/>
        <v>0,264415729924586-1,21348315690421i</v>
      </c>
      <c r="AC241" s="37">
        <f t="shared" si="231"/>
        <v>1.8821307995458203</v>
      </c>
      <c r="AD241" s="60">
        <f t="shared" si="232"/>
        <v>-77.707499775619553</v>
      </c>
      <c r="AE241" t="str">
        <f t="shared" si="233"/>
        <v>21,0353732052265</v>
      </c>
      <c r="AF241" t="str">
        <f t="shared" si="215"/>
        <v>1+5,76200496518565i</v>
      </c>
      <c r="AG241">
        <f t="shared" si="234"/>
        <v>5.8481365595225352</v>
      </c>
      <c r="AH241">
        <f t="shared" si="235"/>
        <v>1.3989572388192488</v>
      </c>
      <c r="AI241" t="str">
        <f t="shared" si="216"/>
        <v>1+0,320111386954758i</v>
      </c>
      <c r="AJ241">
        <f t="shared" si="236"/>
        <v>1.0499863332720569</v>
      </c>
      <c r="AK241">
        <f t="shared" si="237"/>
        <v>0.30980398169142975</v>
      </c>
      <c r="AL241" t="str">
        <f t="shared" si="217"/>
        <v>1-0,0217808210803827i</v>
      </c>
      <c r="AM241">
        <f t="shared" si="238"/>
        <v>1.0002371739577247</v>
      </c>
      <c r="AN241">
        <f t="shared" si="239"/>
        <v>-2.1777377756352662E-2</v>
      </c>
      <c r="AO241" s="58" t="str">
        <f t="shared" si="240"/>
        <v>1,67661679463908-3,38517950373015i</v>
      </c>
      <c r="AP241">
        <f t="shared" si="241"/>
        <v>11.544387074855498</v>
      </c>
      <c r="AQ241" s="60">
        <f t="shared" si="242"/>
        <v>-63.651636710652127</v>
      </c>
      <c r="AR241" t="str">
        <f t="shared" si="218"/>
        <v>-1,05811623246493</v>
      </c>
      <c r="AS241" t="str">
        <f t="shared" si="219"/>
        <v>1+0,31550178298261i</v>
      </c>
      <c r="AT241">
        <f t="shared" si="243"/>
        <v>1.0485901845169092</v>
      </c>
      <c r="AU241">
        <f t="shared" si="244"/>
        <v>0.30561724691785341</v>
      </c>
      <c r="AV241" t="str">
        <f t="shared" si="220"/>
        <v>1+0,31550178298261i</v>
      </c>
      <c r="AW241">
        <f t="shared" si="245"/>
        <v>1.0485901845169092</v>
      </c>
      <c r="AX241">
        <f t="shared" si="246"/>
        <v>0.30561724691785341</v>
      </c>
      <c r="AY241" t="str">
        <f t="shared" si="221"/>
        <v>1-0,0806795613448197i</v>
      </c>
      <c r="AZ241">
        <f t="shared" si="247"/>
        <v>1.003249316779629</v>
      </c>
      <c r="BA241">
        <f t="shared" si="248"/>
        <v>-8.0505188945730721E-2</v>
      </c>
      <c r="BB241" s="58" t="str">
        <f t="shared" si="249"/>
        <v>-0,937829524303537+0,381255240538603i</v>
      </c>
      <c r="BC241">
        <f t="shared" si="250"/>
        <v>0.10672922878798106</v>
      </c>
      <c r="BD241" s="60">
        <f t="shared" si="251"/>
        <v>157.87681404970581</v>
      </c>
      <c r="BE241" s="58" t="str">
        <f t="shared" si="252"/>
        <v>0,214669934661511+1,23885021450442i</v>
      </c>
      <c r="BF241" s="37">
        <f t="shared" si="253"/>
        <v>1.9888600283338154</v>
      </c>
      <c r="BG241" s="60">
        <f t="shared" si="254"/>
        <v>80.169314274086275</v>
      </c>
      <c r="BH241" s="58" t="str">
        <f t="shared" si="255"/>
        <v>-0,281763304994702+3,81394022299651i</v>
      </c>
      <c r="BI241" s="37">
        <f t="shared" si="256"/>
        <v>11.651116303643468</v>
      </c>
      <c r="BJ241" s="60">
        <f t="shared" si="257"/>
        <v>94.225177339053673</v>
      </c>
      <c r="BK241">
        <f t="shared" si="258"/>
        <v>1.9888600283338154</v>
      </c>
      <c r="BL241" s="60">
        <f t="shared" si="259"/>
        <v>80.169314274086275</v>
      </c>
      <c r="BN241">
        <f t="shared" si="260"/>
        <v>0</v>
      </c>
      <c r="BO241">
        <f t="shared" si="261"/>
        <v>0</v>
      </c>
    </row>
    <row r="242" spans="13:67" x14ac:dyDescent="0.25">
      <c r="M242" s="66">
        <v>24</v>
      </c>
      <c r="N242" s="36">
        <f t="shared" si="262"/>
        <v>1737.8008287493772</v>
      </c>
      <c r="O242" s="91" t="str">
        <f t="shared" si="210"/>
        <v>13,7404580152672</v>
      </c>
      <c r="P242" s="67" t="str">
        <f t="shared" si="211"/>
        <v>1+11,7924386047228i</v>
      </c>
      <c r="Q242" s="67">
        <f t="shared" si="222"/>
        <v>11.834762703415587</v>
      </c>
      <c r="R242" s="67">
        <f t="shared" si="223"/>
        <v>1.48619861942012</v>
      </c>
      <c r="S242" s="67" t="str">
        <f t="shared" si="212"/>
        <v>1+0,327567739020078i</v>
      </c>
      <c r="T242" s="67">
        <f t="shared" si="224"/>
        <v>1.0522835281646892</v>
      </c>
      <c r="U242" s="67">
        <f t="shared" si="225"/>
        <v>0.31655257541753656</v>
      </c>
      <c r="V242" t="str">
        <f t="shared" si="213"/>
        <v>1-0,0682432789625163i</v>
      </c>
      <c r="W242" s="67">
        <f t="shared" si="226"/>
        <v>1.0023258677314257</v>
      </c>
      <c r="X242" s="67">
        <f t="shared" si="227"/>
        <v>-6.8137634389090471E-2</v>
      </c>
      <c r="Y242" t="str">
        <f t="shared" si="214"/>
        <v>0,999806723089894+0,118413376056283i</v>
      </c>
      <c r="Z242" s="67">
        <f t="shared" si="228"/>
        <v>1.0067945228122761</v>
      </c>
      <c r="AA242" s="67">
        <f t="shared" si="229"/>
        <v>0.11788710718156645</v>
      </c>
      <c r="AB242" s="92" t="str">
        <f t="shared" si="230"/>
        <v>0,25964474027453-1,18826876762318i</v>
      </c>
      <c r="AC242" s="37">
        <f t="shared" si="231"/>
        <v>1.7008504346552544</v>
      </c>
      <c r="AD242" s="60">
        <f t="shared" si="232"/>
        <v>-77.674214422531492</v>
      </c>
      <c r="AE242" t="str">
        <f t="shared" si="233"/>
        <v>21,0353732052265</v>
      </c>
      <c r="AF242" t="str">
        <f t="shared" si="215"/>
        <v>1+5,89621930236141i</v>
      </c>
      <c r="AG242">
        <f t="shared" si="234"/>
        <v>5.9804182179459051</v>
      </c>
      <c r="AH242">
        <f t="shared" si="235"/>
        <v>1.4027947611514473</v>
      </c>
      <c r="AI242" t="str">
        <f t="shared" si="216"/>
        <v>1+0,327567739020078i</v>
      </c>
      <c r="AJ242">
        <f t="shared" si="236"/>
        <v>1.0522835281646892</v>
      </c>
      <c r="AK242">
        <f t="shared" si="237"/>
        <v>0.31655257541753656</v>
      </c>
      <c r="AL242" t="str">
        <f t="shared" si="217"/>
        <v>1-0,0222881615776766i</v>
      </c>
      <c r="AM242">
        <f t="shared" si="238"/>
        <v>1.0002483502343369</v>
      </c>
      <c r="AN242">
        <f t="shared" si="239"/>
        <v>-2.2284472038979031E-2</v>
      </c>
      <c r="AO242" s="58" t="str">
        <f t="shared" si="240"/>
        <v>1,65110750272249-3,31362208439131i</v>
      </c>
      <c r="AP242">
        <f t="shared" si="241"/>
        <v>11.369185635873631</v>
      </c>
      <c r="AQ242" s="60">
        <f t="shared" si="242"/>
        <v>-63.513898968129496</v>
      </c>
      <c r="AR242" t="str">
        <f t="shared" si="218"/>
        <v>-1,05811623246493</v>
      </c>
      <c r="AS242" t="str">
        <f t="shared" si="219"/>
        <v>1+0,322850763578189i</v>
      </c>
      <c r="AT242">
        <f t="shared" si="243"/>
        <v>1.0508247311245675</v>
      </c>
      <c r="AU242">
        <f t="shared" si="244"/>
        <v>0.31228676181521126</v>
      </c>
      <c r="AV242" t="str">
        <f t="shared" si="220"/>
        <v>1+0,322850763578189i</v>
      </c>
      <c r="AW242">
        <f t="shared" si="245"/>
        <v>1.0508247311245675</v>
      </c>
      <c r="AX242">
        <f t="shared" si="246"/>
        <v>0.31228676181521126</v>
      </c>
      <c r="AY242" t="str">
        <f t="shared" si="221"/>
        <v>1-0,0788430703165452i</v>
      </c>
      <c r="AZ242">
        <f t="shared" si="247"/>
        <v>1.0031032996341602</v>
      </c>
      <c r="BA242">
        <f t="shared" si="248"/>
        <v>-7.8680308067739166E-2</v>
      </c>
      <c r="BB242" s="58" t="str">
        <f t="shared" si="249"/>
        <v>-0,9338452335266+0,384917779227225i</v>
      </c>
      <c r="BC242">
        <f t="shared" si="250"/>
        <v>8.697501127382877E-2</v>
      </c>
      <c r="BD242" s="60">
        <f t="shared" si="251"/>
        <v>157.59923696711064</v>
      </c>
      <c r="BE242" s="58" t="str">
        <f t="shared" si="252"/>
        <v>0,214917772042964+1,20960100160794i</v>
      </c>
      <c r="BF242" s="37">
        <f t="shared" si="253"/>
        <v>1.7878254459291141</v>
      </c>
      <c r="BG242" s="60">
        <f t="shared" si="254"/>
        <v>79.925022544579207</v>
      </c>
      <c r="BH242" s="58" t="str">
        <f t="shared" si="255"/>
        <v>-0,266406817535214+3,72995082243065i</v>
      </c>
      <c r="BI242" s="37">
        <f t="shared" si="256"/>
        <v>11.456160647147456</v>
      </c>
      <c r="BJ242" s="60">
        <f t="shared" si="257"/>
        <v>94.08533799898116</v>
      </c>
      <c r="BK242">
        <f t="shared" si="258"/>
        <v>1.7878254459291141</v>
      </c>
      <c r="BL242" s="60">
        <f t="shared" si="259"/>
        <v>79.925022544579207</v>
      </c>
      <c r="BN242">
        <f t="shared" si="260"/>
        <v>0</v>
      </c>
      <c r="BO242">
        <f t="shared" si="261"/>
        <v>0</v>
      </c>
    </row>
    <row r="243" spans="13:67" x14ac:dyDescent="0.25">
      <c r="M243" s="66">
        <v>25</v>
      </c>
      <c r="N243" s="36">
        <f t="shared" si="262"/>
        <v>1778.2794100389244</v>
      </c>
      <c r="O243" s="91" t="str">
        <f t="shared" si="210"/>
        <v>13,7404580152672</v>
      </c>
      <c r="P243" s="67" t="str">
        <f t="shared" si="211"/>
        <v>1+12,0671197861139i</v>
      </c>
      <c r="Q243" s="67">
        <f t="shared" si="222"/>
        <v>12.108483799899208</v>
      </c>
      <c r="R243" s="67">
        <f t="shared" si="223"/>
        <v>1.4881154328921593</v>
      </c>
      <c r="S243" s="67" t="str">
        <f t="shared" si="212"/>
        <v>1+0,335197771836498i</v>
      </c>
      <c r="T243" s="67">
        <f t="shared" si="224"/>
        <v>1.0546836237678829</v>
      </c>
      <c r="U243" s="67">
        <f t="shared" si="225"/>
        <v>0.3234276094465604</v>
      </c>
      <c r="V243" t="str">
        <f t="shared" si="213"/>
        <v>1-0,0698328691326038i</v>
      </c>
      <c r="W243" s="67">
        <f t="shared" si="226"/>
        <v>1.0024353493424358</v>
      </c>
      <c r="X243" s="67">
        <f t="shared" si="227"/>
        <v>-6.9719683780493355E-2</v>
      </c>
      <c r="Y243" t="str">
        <f t="shared" si="214"/>
        <v>0,999797614229749+0,1211715779107i</v>
      </c>
      <c r="Z243" s="67">
        <f t="shared" si="228"/>
        <v>1.0071136086424743</v>
      </c>
      <c r="AA243" s="67">
        <f t="shared" si="229"/>
        <v>0.1206078855062573</v>
      </c>
      <c r="AB243" s="92" t="str">
        <f t="shared" si="230"/>
        <v>0,255063990956196-1,16364745539373i</v>
      </c>
      <c r="AC243" s="37">
        <f t="shared" si="231"/>
        <v>1.5202311131209647</v>
      </c>
      <c r="AD243" s="60">
        <f t="shared" si="232"/>
        <v>-77.636663178825344</v>
      </c>
      <c r="AE243" t="str">
        <f t="shared" si="233"/>
        <v>21,0353732052265</v>
      </c>
      <c r="AF243" t="str">
        <f t="shared" si="215"/>
        <v>1+6,03355989305697i</v>
      </c>
      <c r="AG243">
        <f t="shared" si="234"/>
        <v>6.1158682934727793</v>
      </c>
      <c r="AH243">
        <f t="shared" si="235"/>
        <v>1.4065497638333979</v>
      </c>
      <c r="AI243" t="str">
        <f t="shared" si="216"/>
        <v>1+0,335197771836498i</v>
      </c>
      <c r="AJ243">
        <f t="shared" si="236"/>
        <v>1.0546836237678829</v>
      </c>
      <c r="AK243">
        <f t="shared" si="237"/>
        <v>0.3234276094465604</v>
      </c>
      <c r="AL243" t="str">
        <f t="shared" si="217"/>
        <v>1-0,0228073195532577i</v>
      </c>
      <c r="AM243">
        <f t="shared" si="238"/>
        <v>1.0002600530987951</v>
      </c>
      <c r="AN243">
        <f t="shared" si="239"/>
        <v>-2.2803366196825665E-2</v>
      </c>
      <c r="AO243" s="58" t="str">
        <f t="shared" si="240"/>
        <v>1,6266834816625-3,24344246412965i</v>
      </c>
      <c r="AP243">
        <f t="shared" si="241"/>
        <v>11.194544500343024</v>
      </c>
      <c r="AQ243" s="60">
        <f t="shared" si="242"/>
        <v>-63.364864785252308</v>
      </c>
      <c r="AR243" t="str">
        <f t="shared" si="218"/>
        <v>-1,05811623246493</v>
      </c>
      <c r="AS243" t="str">
        <f t="shared" si="219"/>
        <v>1+0,330370923922053i</v>
      </c>
      <c r="AT243">
        <f t="shared" si="243"/>
        <v>1.0531595070895534</v>
      </c>
      <c r="AU243">
        <f t="shared" si="244"/>
        <v>0.31908202066832297</v>
      </c>
      <c r="AV243" t="str">
        <f t="shared" si="220"/>
        <v>1+0,330370923922053i</v>
      </c>
      <c r="AW243">
        <f t="shared" si="245"/>
        <v>1.0531595070895534</v>
      </c>
      <c r="AX243">
        <f t="shared" si="246"/>
        <v>0.31908202066832297</v>
      </c>
      <c r="AY243" t="str">
        <f t="shared" si="221"/>
        <v>1-0,0770483829277639i</v>
      </c>
      <c r="AZ243">
        <f t="shared" si="247"/>
        <v>1.0029638344984246</v>
      </c>
      <c r="BA243">
        <f t="shared" si="248"/>
        <v>-7.6896458986039737E-2</v>
      </c>
      <c r="BB243" s="58" t="str">
        <f t="shared" si="249"/>
        <v>-0,929709292885211+0,388675062730446i</v>
      </c>
      <c r="BC243">
        <f t="shared" si="250"/>
        <v>6.6489951494471067E-2</v>
      </c>
      <c r="BD243" s="60">
        <f t="shared" si="251"/>
        <v>157.3121043377981</v>
      </c>
      <c r="BE243" s="58" t="str">
        <f t="shared" si="252"/>
        <v>0,215145385048917+1,18099086560696i</v>
      </c>
      <c r="BF243" s="37">
        <f t="shared" si="253"/>
        <v>1.5867210646154595</v>
      </c>
      <c r="BG243" s="60">
        <f t="shared" si="254"/>
        <v>79.675441158972788</v>
      </c>
      <c r="BH243" s="58" t="str">
        <f t="shared" si="255"/>
        <v>-0,251697546276312+3,6477099041176i</v>
      </c>
      <c r="BI243" s="37">
        <f t="shared" si="256"/>
        <v>11.261034451837507</v>
      </c>
      <c r="BJ243" s="60">
        <f t="shared" si="257"/>
        <v>93.947239552545781</v>
      </c>
      <c r="BK243">
        <f t="shared" si="258"/>
        <v>1.5867210646154595</v>
      </c>
      <c r="BL243" s="60">
        <f t="shared" si="259"/>
        <v>79.675441158972788</v>
      </c>
      <c r="BN243">
        <f t="shared" si="260"/>
        <v>0</v>
      </c>
      <c r="BO243">
        <f t="shared" si="261"/>
        <v>0</v>
      </c>
    </row>
    <row r="244" spans="13:67" x14ac:dyDescent="0.25">
      <c r="M244" s="66">
        <v>26</v>
      </c>
      <c r="N244" s="36">
        <f t="shared" si="262"/>
        <v>1819.7008586099832</v>
      </c>
      <c r="O244" s="91" t="str">
        <f t="shared" si="210"/>
        <v>13,7404580152672</v>
      </c>
      <c r="P244" s="67" t="str">
        <f t="shared" si="211"/>
        <v>1+12,3481991141427i</v>
      </c>
      <c r="Q244" s="67">
        <f t="shared" si="222"/>
        <v>12.388624675988638</v>
      </c>
      <c r="R244" s="67">
        <f t="shared" si="223"/>
        <v>1.4899892029718194</v>
      </c>
      <c r="S244" s="67" t="str">
        <f t="shared" si="212"/>
        <v>1+0,343005530948409i</v>
      </c>
      <c r="T244" s="67">
        <f t="shared" si="224"/>
        <v>1.0571909923288223</v>
      </c>
      <c r="U244" s="67">
        <f t="shared" si="225"/>
        <v>0.33043012848585013</v>
      </c>
      <c r="V244" t="str">
        <f t="shared" si="213"/>
        <v>1-0,0714594856142519i</v>
      </c>
      <c r="W244" s="67">
        <f t="shared" si="226"/>
        <v>1.0025499778486124</v>
      </c>
      <c r="X244" s="67">
        <f t="shared" si="227"/>
        <v>-7.1338221978588759E-2</v>
      </c>
      <c r="Y244" t="str">
        <f t="shared" si="214"/>
        <v>0,999788076082251+0,12399402653962i</v>
      </c>
      <c r="Z244" s="67">
        <f t="shared" si="228"/>
        <v>1.007447624293073</v>
      </c>
      <c r="AA244" s="67">
        <f t="shared" si="229"/>
        <v>0.12339026009334507</v>
      </c>
      <c r="AB244" s="92" t="str">
        <f t="shared" si="230"/>
        <v>0,250664191027204-1,13960824926513i</v>
      </c>
      <c r="AC244" s="37">
        <f t="shared" si="231"/>
        <v>1.3403024480404899</v>
      </c>
      <c r="AD244" s="60">
        <f t="shared" si="232"/>
        <v>-77.594961237852672</v>
      </c>
      <c r="AE244" t="str">
        <f t="shared" si="233"/>
        <v>21,0353732052265</v>
      </c>
      <c r="AF244" t="str">
        <f t="shared" si="215"/>
        <v>1+6,17409955707137i</v>
      </c>
      <c r="AG244">
        <f t="shared" si="234"/>
        <v>6.2545587646634901</v>
      </c>
      <c r="AH244">
        <f t="shared" si="235"/>
        <v>1.4102238140381134</v>
      </c>
      <c r="AI244" t="str">
        <f t="shared" si="216"/>
        <v>1+0,343005530948409i</v>
      </c>
      <c r="AJ244">
        <f t="shared" si="236"/>
        <v>1.0571909923288223</v>
      </c>
      <c r="AK244">
        <f t="shared" si="237"/>
        <v>0.33043012848585013</v>
      </c>
      <c r="AL244" t="str">
        <f t="shared" si="217"/>
        <v>1-0,0233385702715563i</v>
      </c>
      <c r="AM244">
        <f t="shared" si="238"/>
        <v>1.0002723073555122</v>
      </c>
      <c r="AN244">
        <f t="shared" si="239"/>
        <v>-2.3334334236099815E-2</v>
      </c>
      <c r="AO244" s="58" t="str">
        <f t="shared" si="240"/>
        <v>1,60330119811169-3,17462739789535i</v>
      </c>
      <c r="AP244">
        <f t="shared" si="241"/>
        <v>11.020504878032817</v>
      </c>
      <c r="AQ244" s="60">
        <f t="shared" si="242"/>
        <v>-63.204579796497278</v>
      </c>
      <c r="AR244" t="str">
        <f t="shared" si="218"/>
        <v>-1,05811623246493</v>
      </c>
      <c r="AS244" t="str">
        <f t="shared" si="219"/>
        <v>1+0,338066251302752i</v>
      </c>
      <c r="AT244">
        <f t="shared" si="243"/>
        <v>1.0555987828099724</v>
      </c>
      <c r="AU244">
        <f t="shared" si="244"/>
        <v>0.32600411535306834</v>
      </c>
      <c r="AV244" t="str">
        <f t="shared" si="220"/>
        <v>1+0,338066251302752i</v>
      </c>
      <c r="AW244">
        <f t="shared" si="245"/>
        <v>1.0555987828099724</v>
      </c>
      <c r="AX244">
        <f t="shared" si="246"/>
        <v>0.32600411535306834</v>
      </c>
      <c r="AY244" t="str">
        <f t="shared" si="221"/>
        <v>1-0,0752945476114676i</v>
      </c>
      <c r="AZ244">
        <f t="shared" si="247"/>
        <v>1.0028306282219424</v>
      </c>
      <c r="BA244">
        <f t="shared" si="248"/>
        <v>-7.5152741316943564E-2</v>
      </c>
      <c r="BB244" s="58" t="str">
        <f t="shared" si="249"/>
        <v>-0,925417516297273+0,39252281366832i</v>
      </c>
      <c r="BC244">
        <f t="shared" si="250"/>
        <v>4.5241714983966057E-2</v>
      </c>
      <c r="BD244" s="60">
        <f t="shared" si="251"/>
        <v>157.01540519007381</v>
      </c>
      <c r="BE244" s="58" t="str">
        <f t="shared" si="252"/>
        <v>0,215353203396117+1,15300484913471i</v>
      </c>
      <c r="BF244" s="37">
        <f t="shared" si="253"/>
        <v>1.3855441630244434</v>
      </c>
      <c r="BG244" s="60">
        <f t="shared" si="254"/>
        <v>79.420443952221135</v>
      </c>
      <c r="BH244" s="58" t="str">
        <f t="shared" si="255"/>
        <v>-0,237609334062542+3,56718809917018i</v>
      </c>
      <c r="BI244" s="37">
        <f t="shared" si="256"/>
        <v>11.065746593016787</v>
      </c>
      <c r="BJ244" s="60">
        <f t="shared" si="257"/>
        <v>93.81082539357655</v>
      </c>
      <c r="BK244">
        <f t="shared" si="258"/>
        <v>1.3855441630244434</v>
      </c>
      <c r="BL244" s="60">
        <f t="shared" si="259"/>
        <v>79.420443952221135</v>
      </c>
      <c r="BN244">
        <f t="shared" si="260"/>
        <v>0</v>
      </c>
      <c r="BO244">
        <f t="shared" si="261"/>
        <v>0</v>
      </c>
    </row>
    <row r="245" spans="13:67" x14ac:dyDescent="0.25">
      <c r="M245" s="66">
        <v>27</v>
      </c>
      <c r="N245" s="36">
        <f t="shared" si="262"/>
        <v>1862.0871366628687</v>
      </c>
      <c r="O245" s="91" t="str">
        <f t="shared" si="210"/>
        <v>13,7404580152672</v>
      </c>
      <c r="P245" s="67" t="str">
        <f t="shared" si="211"/>
        <v>1+12,6358256207897i</v>
      </c>
      <c r="Q245" s="67">
        <f t="shared" si="222"/>
        <v>12.675333885898445</v>
      </c>
      <c r="R245" s="67">
        <f t="shared" si="223"/>
        <v>1.4918208704968201</v>
      </c>
      <c r="S245" s="67" t="str">
        <f t="shared" si="212"/>
        <v>1+0,350995156133046i</v>
      </c>
      <c r="T245" s="67">
        <f t="shared" si="224"/>
        <v>1.0598101715066057</v>
      </c>
      <c r="U245" s="67">
        <f t="shared" si="225"/>
        <v>0.33756109749603763</v>
      </c>
      <c r="V245" t="str">
        <f t="shared" si="213"/>
        <v>1-0,0731239908610513i</v>
      </c>
      <c r="W245" s="67">
        <f t="shared" si="226"/>
        <v>1.0026699945841837</v>
      </c>
      <c r="X245" s="67">
        <f t="shared" si="227"/>
        <v>-7.2994073214477345E-2</v>
      </c>
      <c r="Y245" t="str">
        <f t="shared" si="214"/>
        <v>0,99977808841571+0,126882218442667i</v>
      </c>
      <c r="Z245" s="67">
        <f t="shared" si="228"/>
        <v>1.0077972630609313</v>
      </c>
      <c r="AA245" s="67">
        <f t="shared" si="229"/>
        <v>0.12623554101258341</v>
      </c>
      <c r="AB245" s="92" t="str">
        <f t="shared" si="230"/>
        <v>0,246436404190453-1,11614032697261i</v>
      </c>
      <c r="AC245" s="37">
        <f t="shared" si="231"/>
        <v>1.1610945754426263</v>
      </c>
      <c r="AD245" s="60">
        <f t="shared" si="232"/>
        <v>-77.549229503903447</v>
      </c>
      <c r="AE245" t="str">
        <f t="shared" si="233"/>
        <v>21,0353732052265</v>
      </c>
      <c r="AF245" t="str">
        <f t="shared" si="215"/>
        <v>1+6,31791281039483i</v>
      </c>
      <c r="AG245">
        <f t="shared" si="234"/>
        <v>6.3965633178880585</v>
      </c>
      <c r="AH245">
        <f t="shared" si="235"/>
        <v>1.4138184628369175</v>
      </c>
      <c r="AI245" t="str">
        <f t="shared" si="216"/>
        <v>1+0,350995156133046i</v>
      </c>
      <c r="AJ245">
        <f t="shared" si="236"/>
        <v>1.0598101715066057</v>
      </c>
      <c r="AK245">
        <f t="shared" si="237"/>
        <v>0.33756109749603763</v>
      </c>
      <c r="AL245" t="str">
        <f t="shared" si="217"/>
        <v>1-0,0238821954087354i</v>
      </c>
      <c r="AM245">
        <f t="shared" si="238"/>
        <v>1.0002851389766525</v>
      </c>
      <c r="AN245">
        <f t="shared" si="239"/>
        <v>-2.3877656484843947E-2</v>
      </c>
      <c r="AO245" s="58" t="str">
        <f t="shared" si="240"/>
        <v>1,58091863772852-3,10716290439449i</v>
      </c>
      <c r="AP245">
        <f t="shared" si="241"/>
        <v>10.847108366741629</v>
      </c>
      <c r="AQ245" s="60">
        <f t="shared" si="242"/>
        <v>-63.033093645146636</v>
      </c>
      <c r="AR245" t="str">
        <f t="shared" si="218"/>
        <v>-1,05811623246493</v>
      </c>
      <c r="AS245" t="str">
        <f t="shared" si="219"/>
        <v>1+0,34594082588473i</v>
      </c>
      <c r="AT245">
        <f t="shared" si="243"/>
        <v>1.0581469912133235</v>
      </c>
      <c r="AU245">
        <f t="shared" si="244"/>
        <v>0.33305406176821567</v>
      </c>
      <c r="AV245" t="str">
        <f t="shared" si="220"/>
        <v>1+0,34594082588473i</v>
      </c>
      <c r="AW245">
        <f t="shared" si="245"/>
        <v>1.0581469912133235</v>
      </c>
      <c r="AX245">
        <f t="shared" si="246"/>
        <v>0.33305406176821567</v>
      </c>
      <c r="AY245" t="str">
        <f t="shared" si="221"/>
        <v>1-0,0735806344609557i</v>
      </c>
      <c r="AZ245">
        <f t="shared" si="247"/>
        <v>1.0027034006961764</v>
      </c>
      <c r="BA245">
        <f t="shared" si="248"/>
        <v>-7.3448272956886912E-2</v>
      </c>
      <c r="BB245" s="58" t="str">
        <f t="shared" si="249"/>
        <v>-0,920965739222208+0,396456512156277i</v>
      </c>
      <c r="BC245">
        <f t="shared" si="250"/>
        <v>2.3197267837820112E-2</v>
      </c>
      <c r="BD245" s="60">
        <f t="shared" si="251"/>
        <v>156.70913185803735</v>
      </c>
      <c r="BE245" s="58" t="str">
        <f t="shared" si="252"/>
        <v>0,215541615952004+1,12562831857973i</v>
      </c>
      <c r="BF245" s="37">
        <f t="shared" si="253"/>
        <v>1.1842918432804601</v>
      </c>
      <c r="BG245" s="60">
        <f t="shared" si="254"/>
        <v>79.159902354133919</v>
      </c>
      <c r="BH245" s="58" t="str">
        <f t="shared" si="255"/>
        <v>-0,224116934068205+3,4883560702462i</v>
      </c>
      <c r="BI245" s="37">
        <f t="shared" si="256"/>
        <v>10.870305634579458</v>
      </c>
      <c r="BJ245" s="60">
        <f t="shared" si="257"/>
        <v>93.676038212890688</v>
      </c>
      <c r="BK245">
        <f t="shared" si="258"/>
        <v>1.1842918432804601</v>
      </c>
      <c r="BL245" s="60">
        <f t="shared" si="259"/>
        <v>79.159902354133919</v>
      </c>
      <c r="BN245">
        <f t="shared" si="260"/>
        <v>0</v>
      </c>
      <c r="BO245">
        <f t="shared" si="261"/>
        <v>0</v>
      </c>
    </row>
    <row r="246" spans="13:67" x14ac:dyDescent="0.25">
      <c r="M246" s="66">
        <v>28</v>
      </c>
      <c r="N246" s="36">
        <f t="shared" si="262"/>
        <v>1905.4607179632501</v>
      </c>
      <c r="O246" s="91" t="str">
        <f t="shared" si="210"/>
        <v>13,7404580152672</v>
      </c>
      <c r="P246" s="67" t="str">
        <f t="shared" si="211"/>
        <v>1+12,9301518094358i</v>
      </c>
      <c r="Q246" s="67">
        <f t="shared" si="222"/>
        <v>12.968763465151792</v>
      </c>
      <c r="R246" s="67">
        <f t="shared" si="223"/>
        <v>1.4936113574520662</v>
      </c>
      <c r="S246" s="67" t="str">
        <f t="shared" si="212"/>
        <v>1+0,359170883595438i</v>
      </c>
      <c r="T246" s="67">
        <f t="shared" si="224"/>
        <v>1.062545868950008</v>
      </c>
      <c r="U246" s="67">
        <f t="shared" si="225"/>
        <v>0.3448213955635348</v>
      </c>
      <c r="V246" t="str">
        <f t="shared" si="213"/>
        <v>1-0,0748272674157163i</v>
      </c>
      <c r="W246" s="67">
        <f t="shared" si="226"/>
        <v>1.0027956521390105</v>
      </c>
      <c r="X246" s="67">
        <f t="shared" si="227"/>
        <v>-7.4688079101357191E-2</v>
      </c>
      <c r="Y246" t="str">
        <f t="shared" si="214"/>
        <v>0,999767630044947+0,129837684977418i</v>
      </c>
      <c r="Z246" s="67">
        <f t="shared" si="228"/>
        <v>1.0081632499382158</v>
      </c>
      <c r="AA246" s="67">
        <f t="shared" si="229"/>
        <v>0.12914506023394487</v>
      </c>
      <c r="AB246" s="92" t="str">
        <f t="shared" si="230"/>
        <v>0,242372033076123-1,09323301790219i</v>
      </c>
      <c r="AC246" s="37">
        <f t="shared" si="231"/>
        <v>0.98263814625625734</v>
      </c>
      <c r="AD246" s="60">
        <f t="shared" si="232"/>
        <v>-77.49959497202245</v>
      </c>
      <c r="AE246" t="str">
        <f t="shared" si="233"/>
        <v>21,0353732052265</v>
      </c>
      <c r="AF246" t="str">
        <f t="shared" si="215"/>
        <v>1+6,46507590471789i</v>
      </c>
      <c r="AG246">
        <f t="shared" si="234"/>
        <v>6.5419573870336265</v>
      </c>
      <c r="AH246">
        <f t="shared" si="235"/>
        <v>1.4173352443847007</v>
      </c>
      <c r="AI246" t="str">
        <f t="shared" si="216"/>
        <v>1+0,359170883595438i</v>
      </c>
      <c r="AJ246">
        <f t="shared" si="236"/>
        <v>1.062545868950008</v>
      </c>
      <c r="AK246">
        <f t="shared" si="237"/>
        <v>0.3448213955635348</v>
      </c>
      <c r="AL246" t="str">
        <f t="shared" si="217"/>
        <v>1-0,0244384832020388i</v>
      </c>
      <c r="AM246">
        <f t="shared" si="238"/>
        <v>1.0002985751570459</v>
      </c>
      <c r="AN246">
        <f t="shared" si="239"/>
        <v>-2.4433619735865386E-2</v>
      </c>
      <c r="AO246" s="58" t="str">
        <f t="shared" si="240"/>
        <v>1,55949527221331-3,0410343417513i</v>
      </c>
      <c r="AP246">
        <f t="shared" si="241"/>
        <v>10.67439696054805</v>
      </c>
      <c r="AQ246" s="60">
        <f t="shared" si="242"/>
        <v>-62.850460295877468</v>
      </c>
      <c r="AR246" t="str">
        <f t="shared" si="218"/>
        <v>-1,05811623246493</v>
      </c>
      <c r="AS246" t="str">
        <f t="shared" si="219"/>
        <v>1+0,353998822871664i</v>
      </c>
      <c r="AT246">
        <f t="shared" si="243"/>
        <v>1.0608087323332722</v>
      </c>
      <c r="AU246">
        <f t="shared" si="244"/>
        <v>0.3402327938182379</v>
      </c>
      <c r="AV246" t="str">
        <f t="shared" si="220"/>
        <v>1+0,353998822871664i</v>
      </c>
      <c r="AW246">
        <f t="shared" si="245"/>
        <v>1.0608087323332722</v>
      </c>
      <c r="AX246">
        <f t="shared" si="246"/>
        <v>0.3402327938182379</v>
      </c>
      <c r="AY246" t="str">
        <f t="shared" si="221"/>
        <v>1-0,0719057347367891i</v>
      </c>
      <c r="AZ246">
        <f t="shared" si="247"/>
        <v>1.002581884280799</v>
      </c>
      <c r="BA246">
        <f t="shared" si="248"/>
        <v>-7.1782189811107219E-2</v>
      </c>
      <c r="BB246" s="58" t="str">
        <f t="shared" si="249"/>
        <v>-0,91634983277624+0,400471387273749i</v>
      </c>
      <c r="BC246">
        <f t="shared" si="250"/>
        <v>3.2287749343403132E-4</v>
      </c>
      <c r="BD246" s="60">
        <f t="shared" si="251"/>
        <v>156.39328034188682</v>
      </c>
      <c r="BE246" s="58" t="str">
        <f t="shared" si="252"/>
        <v>0,215710971313815+1,09884695746249i</v>
      </c>
      <c r="BF246" s="37">
        <f t="shared" si="253"/>
        <v>0.9829610237496933</v>
      </c>
      <c r="BG246" s="60">
        <f t="shared" si="254"/>
        <v>78.893685369864372</v>
      </c>
      <c r="BH246" s="58" t="str">
        <f t="shared" si="255"/>
        <v>-0,211195990319748+3,41118454564072i</v>
      </c>
      <c r="BI246" s="37">
        <f t="shared" si="256"/>
        <v>10.674719838041476</v>
      </c>
      <c r="BJ246" s="60">
        <f t="shared" si="257"/>
        <v>93.542820046009339</v>
      </c>
      <c r="BK246">
        <f t="shared" si="258"/>
        <v>0.9829610237496933</v>
      </c>
      <c r="BL246" s="60">
        <f t="shared" si="259"/>
        <v>78.893685369864372</v>
      </c>
      <c r="BN246">
        <f t="shared" si="260"/>
        <v>0</v>
      </c>
      <c r="BO246">
        <f t="shared" si="261"/>
        <v>0</v>
      </c>
    </row>
    <row r="247" spans="13:67" x14ac:dyDescent="0.25">
      <c r="M247" s="66">
        <v>29</v>
      </c>
      <c r="N247" s="36">
        <f t="shared" si="262"/>
        <v>1949.8445997580463</v>
      </c>
      <c r="O247" s="91" t="str">
        <f t="shared" si="210"/>
        <v>13,7404580152672</v>
      </c>
      <c r="P247" s="67" t="str">
        <f t="shared" si="211"/>
        <v>1+13,2313337357219i</v>
      </c>
      <c r="Q247" s="67">
        <f t="shared" si="222"/>
        <v>13.269069011277788</v>
      </c>
      <c r="R247" s="67">
        <f t="shared" si="223"/>
        <v>1.4953615672316269</v>
      </c>
      <c r="S247" s="67" t="str">
        <f t="shared" si="212"/>
        <v>1+0,367537048214496i</v>
      </c>
      <c r="T247" s="67">
        <f t="shared" si="224"/>
        <v>1.065402966867572</v>
      </c>
      <c r="U247" s="67">
        <f t="shared" si="225"/>
        <v>0.352211809608521</v>
      </c>
      <c r="V247" t="str">
        <f t="shared" si="213"/>
        <v>1-0,07657021837802i</v>
      </c>
      <c r="W247" s="67">
        <f t="shared" si="226"/>
        <v>1.0029272148777586</v>
      </c>
      <c r="X247" s="67">
        <f t="shared" si="227"/>
        <v>-7.6421098912074409E-2</v>
      </c>
      <c r="Y247" t="str">
        <f t="shared" si="214"/>
        <v>0,999756678786355+0,132861993171347i</v>
      </c>
      <c r="Z247" s="67">
        <f t="shared" si="228"/>
        <v>1.0085463430142345</v>
      </c>
      <c r="AA247" s="67">
        <f t="shared" si="229"/>
        <v>0.13212017155752126</v>
      </c>
      <c r="AB247" s="92" t="str">
        <f t="shared" si="230"/>
        <v>0,238462804030867-1,07087580549092i</v>
      </c>
      <c r="AC247" s="37">
        <f t="shared" si="231"/>
        <v>0.80496431491464404</v>
      </c>
      <c r="AD247" s="60">
        <f t="shared" si="232"/>
        <v>-77.44619111541104</v>
      </c>
      <c r="AE247" t="str">
        <f t="shared" si="233"/>
        <v>21,0353732052265</v>
      </c>
      <c r="AF247" t="str">
        <f t="shared" si="215"/>
        <v>1+6,61566686786094i</v>
      </c>
      <c r="AG247">
        <f t="shared" si="234"/>
        <v>6.6908181941010012</v>
      </c>
      <c r="AH247">
        <f t="shared" si="235"/>
        <v>1.4207756751897507</v>
      </c>
      <c r="AI247" t="str">
        <f t="shared" si="216"/>
        <v>1+0,367537048214496i</v>
      </c>
      <c r="AJ247">
        <f t="shared" si="236"/>
        <v>1.065402966867572</v>
      </c>
      <c r="AK247">
        <f t="shared" si="237"/>
        <v>0.352211809608521</v>
      </c>
      <c r="AL247" t="str">
        <f t="shared" si="217"/>
        <v>1-0,025007728602617i</v>
      </c>
      <c r="AM247">
        <f t="shared" si="238"/>
        <v>1.0003126443716794</v>
      </c>
      <c r="AN247">
        <f t="shared" si="239"/>
        <v>-2.5002517392686056E-2</v>
      </c>
      <c r="AO247" s="58" t="str">
        <f t="shared" si="240"/>
        <v>1,53899202511926-2,97622647871551i</v>
      </c>
      <c r="AP247">
        <f t="shared" si="241"/>
        <v>10.502413054776238</v>
      </c>
      <c r="AQ247" s="60">
        <f t="shared" si="242"/>
        <v>-62.656738361792392</v>
      </c>
      <c r="AR247" t="str">
        <f t="shared" si="218"/>
        <v>-1,05811623246493</v>
      </c>
      <c r="AS247" t="str">
        <f t="shared" si="219"/>
        <v>1+0,362244514720207i</v>
      </c>
      <c r="AT247">
        <f t="shared" si="243"/>
        <v>1.0635887778859263</v>
      </c>
      <c r="AU247">
        <f t="shared" si="244"/>
        <v>0.34754115722332757</v>
      </c>
      <c r="AV247" t="str">
        <f t="shared" si="220"/>
        <v>1+0,362244514720207i</v>
      </c>
      <c r="AW247">
        <f t="shared" si="245"/>
        <v>1.0635887778859263</v>
      </c>
      <c r="AX247">
        <f t="shared" si="246"/>
        <v>0.34754115722332757</v>
      </c>
      <c r="AY247" t="str">
        <f t="shared" si="221"/>
        <v>1-0,0702689603849659i</v>
      </c>
      <c r="AZ247">
        <f t="shared" si="247"/>
        <v>1.0024658232546304</v>
      </c>
      <c r="BA247">
        <f t="shared" si="248"/>
        <v>-7.0153645519159938E-2</v>
      </c>
      <c r="BB247" s="58" t="str">
        <f t="shared" si="249"/>
        <v>-0,911565718905625+0,404562409102312i</v>
      </c>
      <c r="BC247">
        <f t="shared" si="250"/>
        <v>-2.3415883455380905E-2</v>
      </c>
      <c r="BD247" s="60">
        <f t="shared" si="251"/>
        <v>156.06785067830603</v>
      </c>
      <c r="BE247" s="58" t="str">
        <f t="shared" si="252"/>
        <v>0,215861578330137+1,07264675997099i</v>
      </c>
      <c r="BF247" s="37">
        <f t="shared" si="253"/>
        <v>0.78154843145925457</v>
      </c>
      <c r="BG247" s="60">
        <f t="shared" si="254"/>
        <v>78.62165956289499</v>
      </c>
      <c r="BH247" s="58" t="str">
        <f t="shared" si="255"/>
        <v>-0,198823017504624+3,33564435096775i</v>
      </c>
      <c r="BI247" s="37">
        <f t="shared" si="256"/>
        <v>10.478997171320843</v>
      </c>
      <c r="BJ247" s="60">
        <f t="shared" si="257"/>
        <v>93.411112316513652</v>
      </c>
      <c r="BK247">
        <f t="shared" si="258"/>
        <v>0.78154843145925457</v>
      </c>
      <c r="BL247" s="60">
        <f t="shared" si="259"/>
        <v>78.62165956289499</v>
      </c>
      <c r="BN247">
        <f t="shared" si="260"/>
        <v>0</v>
      </c>
      <c r="BO247">
        <f t="shared" si="261"/>
        <v>0</v>
      </c>
    </row>
    <row r="248" spans="13:67" x14ac:dyDescent="0.25">
      <c r="M248" s="66">
        <v>30</v>
      </c>
      <c r="N248" s="36">
        <f t="shared" si="262"/>
        <v>1995.2623149688804</v>
      </c>
      <c r="O248" s="91" t="str">
        <f t="shared" si="210"/>
        <v>13,7404580152672</v>
      </c>
      <c r="P248" s="67" t="str">
        <f t="shared" si="211"/>
        <v>1+13,5395310902921i</v>
      </c>
      <c r="Q248" s="67">
        <f t="shared" si="222"/>
        <v>13.576409766392086</v>
      </c>
      <c r="R248" s="67">
        <f t="shared" si="223"/>
        <v>1.4970723849054917</v>
      </c>
      <c r="S248" s="67" t="str">
        <f t="shared" si="212"/>
        <v>1+0,376098085841448i</v>
      </c>
      <c r="T248" s="67">
        <f t="shared" si="224"/>
        <v>1.0683865265780925</v>
      </c>
      <c r="U248" s="67">
        <f t="shared" si="225"/>
        <v>0.3597330279435203</v>
      </c>
      <c r="V248" t="str">
        <f t="shared" si="213"/>
        <v>1-0,078353767883635i</v>
      </c>
      <c r="W248" s="67">
        <f t="shared" si="226"/>
        <v>1.0030649594824668</v>
      </c>
      <c r="X248" s="67">
        <f t="shared" si="227"/>
        <v>-7.8194009854351029E-2</v>
      </c>
      <c r="Y248" t="str">
        <f t="shared" si="214"/>
        <v>0,999745211410846+0,135956746552693i</v>
      </c>
      <c r="Z248" s="67">
        <f t="shared" si="228"/>
        <v>1.0089473349348372</v>
      </c>
      <c r="AA248" s="67">
        <f t="shared" si="229"/>
        <v>0.13516225050452083</v>
      </c>
      <c r="AB248" s="92" t="str">
        <f t="shared" si="230"/>
        <v>0,234700752405449-1,04905832909716i</v>
      </c>
      <c r="AC248" s="37">
        <f t="shared" si="231"/>
        <v>0.62810472439835352</v>
      </c>
      <c r="AD248" s="60">
        <f t="shared" si="232"/>
        <v>-77.389158279301583</v>
      </c>
      <c r="AE248" t="str">
        <f t="shared" si="233"/>
        <v>21,0353732052265</v>
      </c>
      <c r="AF248" t="str">
        <f t="shared" si="215"/>
        <v>1+6,76976554514607i</v>
      </c>
      <c r="AG248">
        <f t="shared" si="234"/>
        <v>6.8432247907143067</v>
      </c>
      <c r="AH248">
        <f t="shared" si="235"/>
        <v>1.4241412534631186</v>
      </c>
      <c r="AI248" t="str">
        <f t="shared" si="216"/>
        <v>1+0,376098085841448i</v>
      </c>
      <c r="AJ248">
        <f t="shared" si="236"/>
        <v>1.0683865265780925</v>
      </c>
      <c r="AK248">
        <f t="shared" si="237"/>
        <v>0.3597330279435203</v>
      </c>
      <c r="AL248" t="str">
        <f t="shared" si="217"/>
        <v>1-0,025590233431917i</v>
      </c>
      <c r="AM248">
        <f t="shared" si="238"/>
        <v>1.0003273764358847</v>
      </c>
      <c r="AN248">
        <f t="shared" si="239"/>
        <v>-2.5584649618565776E-2</v>
      </c>
      <c r="AO248" s="58" t="str">
        <f t="shared" si="240"/>
        <v>1,5193712366832-2,91272356158698i</v>
      </c>
      <c r="AP248">
        <f t="shared" si="241"/>
        <v>10.331199447459657</v>
      </c>
      <c r="AQ248" s="60">
        <f t="shared" si="242"/>
        <v>-62.451991444746916</v>
      </c>
      <c r="AR248" t="str">
        <f t="shared" si="218"/>
        <v>-1,05811623246493</v>
      </c>
      <c r="AS248" t="str">
        <f t="shared" si="219"/>
        <v>1+0,370682273405331i</v>
      </c>
      <c r="AT248">
        <f t="shared" si="243"/>
        <v>1.0664920758341079</v>
      </c>
      <c r="AU248">
        <f t="shared" si="244"/>
        <v>0.35497990317022626</v>
      </c>
      <c r="AV248" t="str">
        <f t="shared" si="220"/>
        <v>1+0,370682273405331i</v>
      </c>
      <c r="AW248">
        <f t="shared" si="245"/>
        <v>1.0664920758341079</v>
      </c>
      <c r="AX248">
        <f t="shared" si="246"/>
        <v>0.35497990317022626</v>
      </c>
      <c r="AY248" t="str">
        <f t="shared" si="221"/>
        <v>1-0,0686694435660579i</v>
      </c>
      <c r="AZ248">
        <f t="shared" si="247"/>
        <v>1.002354973290237</v>
      </c>
      <c r="BA248">
        <f t="shared" si="248"/>
        <v>-6.856181117793067E-2</v>
      </c>
      <c r="BB248" s="58" t="str">
        <f t="shared" si="249"/>
        <v>-0,906609386626006+0,408724281436721i</v>
      </c>
      <c r="BC248">
        <f t="shared" si="250"/>
        <v>-4.8054130210768375E-2</v>
      </c>
      <c r="BD248" s="60">
        <f t="shared" si="251"/>
        <v>155.7328473201151</v>
      </c>
      <c r="BE248" s="58" t="str">
        <f t="shared" si="252"/>
        <v>0,215993706566478+1,04701402465725i</v>
      </c>
      <c r="BF248" s="37">
        <f t="shared" si="253"/>
        <v>0.580050594187552</v>
      </c>
      <c r="BG248" s="60">
        <f t="shared" si="254"/>
        <v>78.343689040813459</v>
      </c>
      <c r="BH248" s="58" t="str">
        <f t="shared" si="255"/>
        <v>-0,186975380213107+3,26170643853045i</v>
      </c>
      <c r="BI248" s="37">
        <f t="shared" si="256"/>
        <v>10.283145317248884</v>
      </c>
      <c r="BJ248" s="60">
        <f t="shared" si="257"/>
        <v>93.280855875368189</v>
      </c>
      <c r="BK248">
        <f t="shared" si="258"/>
        <v>0.580050594187552</v>
      </c>
      <c r="BL248" s="60">
        <f t="shared" si="259"/>
        <v>78.343689040813459</v>
      </c>
      <c r="BN248">
        <f t="shared" si="260"/>
        <v>0</v>
      </c>
      <c r="BO248">
        <f t="shared" si="261"/>
        <v>0</v>
      </c>
    </row>
    <row r="249" spans="13:67" x14ac:dyDescent="0.25">
      <c r="M249" s="66">
        <v>31</v>
      </c>
      <c r="N249" s="36">
        <f t="shared" si="262"/>
        <v>2041.7379446695318</v>
      </c>
      <c r="O249" s="91" t="str">
        <f t="shared" si="210"/>
        <v>13,7404580152672</v>
      </c>
      <c r="P249" s="67" t="str">
        <f t="shared" si="211"/>
        <v>1+13,8549072834633i</v>
      </c>
      <c r="Q249" s="67">
        <f t="shared" si="222"/>
        <v>13.890948701703723</v>
      </c>
      <c r="R249" s="67">
        <f t="shared" si="223"/>
        <v>1.4987446774903108</v>
      </c>
      <c r="S249" s="67" t="str">
        <f t="shared" si="212"/>
        <v>1+0,384858535651758i</v>
      </c>
      <c r="T249" s="67">
        <f t="shared" si="224"/>
        <v>1.0715017930288384</v>
      </c>
      <c r="U249" s="67">
        <f t="shared" si="225"/>
        <v>0.36738563370004496</v>
      </c>
      <c r="V249" t="str">
        <f t="shared" si="213"/>
        <v>1-0,0801788615941162i</v>
      </c>
      <c r="W249" s="67">
        <f t="shared" si="226"/>
        <v>1.0032091755195067</v>
      </c>
      <c r="X249" s="67">
        <f t="shared" si="227"/>
        <v>-8.0007707343027409E-2</v>
      </c>
      <c r="Y249" t="str">
        <f t="shared" si="214"/>
        <v>0,999733203594579+0,139123586000661i</v>
      </c>
      <c r="Z249" s="67">
        <f t="shared" si="228"/>
        <v>1.0093670544213156</v>
      </c>
      <c r="AA249" s="67">
        <f t="shared" si="229"/>
        <v>0.13827269416624502</v>
      </c>
      <c r="AB249" s="92" t="str">
        <f t="shared" si="230"/>
        <v>0,23107820833167-1,02777038537328i</v>
      </c>
      <c r="AC249" s="37">
        <f t="shared" si="231"/>
        <v>0.45209148752159312</v>
      </c>
      <c r="AD249" s="60">
        <f t="shared" si="232"/>
        <v>-77.328644080041158</v>
      </c>
      <c r="AE249" t="str">
        <f t="shared" si="233"/>
        <v>21,0353732052265</v>
      </c>
      <c r="AF249" t="str">
        <f t="shared" si="215"/>
        <v>1+6,92745364173165i</v>
      </c>
      <c r="AG249">
        <f t="shared" si="234"/>
        <v>6.9992581005661654</v>
      </c>
      <c r="AH249">
        <f t="shared" si="235"/>
        <v>1.4274334585426347</v>
      </c>
      <c r="AI249" t="str">
        <f t="shared" si="216"/>
        <v>1+0,384858535651758i</v>
      </c>
      <c r="AJ249">
        <f t="shared" si="236"/>
        <v>1.0715017930288384</v>
      </c>
      <c r="AK249">
        <f t="shared" si="237"/>
        <v>0.36738563370004496</v>
      </c>
      <c r="AL249" t="str">
        <f t="shared" si="217"/>
        <v>1-0,0261863065417093i</v>
      </c>
      <c r="AM249">
        <f t="shared" si="238"/>
        <v>1.0003428025683476</v>
      </c>
      <c r="AN249">
        <f t="shared" si="239"/>
        <v>-2.6180323488637705E-2</v>
      </c>
      <c r="AO249" s="58" t="str">
        <f t="shared" si="240"/>
        <v>1,50059662789943-2,85050937703177i</v>
      </c>
      <c r="AP249">
        <f t="shared" si="241"/>
        <v>10.160799337090545</v>
      </c>
      <c r="AQ249" s="60">
        <f t="shared" si="242"/>
        <v>-62.236288487689706</v>
      </c>
      <c r="AR249" t="str">
        <f t="shared" si="218"/>
        <v>-1,05811623246493</v>
      </c>
      <c r="AS249" t="str">
        <f t="shared" si="219"/>
        <v>1+0,379316572738373i</v>
      </c>
      <c r="AT249">
        <f t="shared" si="243"/>
        <v>1.0695237549273908</v>
      </c>
      <c r="AU249">
        <f t="shared" si="244"/>
        <v>0.36254968181976222</v>
      </c>
      <c r="AV249" t="str">
        <f t="shared" si="220"/>
        <v>1+0,379316572738373i</v>
      </c>
      <c r="AW249">
        <f t="shared" si="245"/>
        <v>1.0695237549273908</v>
      </c>
      <c r="AX249">
        <f t="shared" si="246"/>
        <v>0.36254968181976222</v>
      </c>
      <c r="AY249" t="str">
        <f t="shared" si="221"/>
        <v>1-0,0671063361950765i</v>
      </c>
      <c r="AZ249">
        <f t="shared" si="247"/>
        <v>1.0022491009512189</v>
      </c>
      <c r="BA249">
        <f t="shared" si="248"/>
        <v>-6.700587506276949E-2</v>
      </c>
      <c r="BB249" s="58" t="str">
        <f t="shared" si="249"/>
        <v>-0,901476909327789+0,412951435278257i</v>
      </c>
      <c r="BC249">
        <f t="shared" si="250"/>
        <v>-7.3627655289692312E-2</v>
      </c>
      <c r="BD249" s="60">
        <f t="shared" si="251"/>
        <v>155.38827952423918</v>
      </c>
      <c r="BE249" s="58" t="str">
        <f t="shared" si="252"/>
        <v>0,216107586716546+1,02193534829703i</v>
      </c>
      <c r="BF249" s="37">
        <f t="shared" si="253"/>
        <v>0.3784638322319272</v>
      </c>
      <c r="BG249" s="60">
        <f t="shared" si="254"/>
        <v>78.059635444198094</v>
      </c>
      <c r="BH249" s="58" t="str">
        <f t="shared" si="255"/>
        <v>-0,175631271747081+3,18934191448126i</v>
      </c>
      <c r="BI249" s="37">
        <f t="shared" si="256"/>
        <v>10.087171681800841</v>
      </c>
      <c r="BJ249" s="60">
        <f t="shared" si="257"/>
        <v>93.151991036549489</v>
      </c>
      <c r="BK249">
        <f t="shared" si="258"/>
        <v>0.3784638322319272</v>
      </c>
      <c r="BL249" s="60">
        <f t="shared" si="259"/>
        <v>78.059635444198094</v>
      </c>
      <c r="BN249">
        <f t="shared" si="260"/>
        <v>0</v>
      </c>
      <c r="BO249">
        <f t="shared" si="261"/>
        <v>0</v>
      </c>
    </row>
    <row r="250" spans="13:67" x14ac:dyDescent="0.25">
      <c r="M250" s="66">
        <v>32</v>
      </c>
      <c r="N250" s="36">
        <f t="shared" si="262"/>
        <v>2089.2961308540398</v>
      </c>
      <c r="O250" s="91" t="str">
        <f t="shared" si="210"/>
        <v>13,7404580152672</v>
      </c>
      <c r="P250" s="67" t="str">
        <f t="shared" si="211"/>
        <v>1+14,1776295318676i</v>
      </c>
      <c r="Q250" s="67">
        <f t="shared" si="222"/>
        <v>14.212852603994888</v>
      </c>
      <c r="R250" s="67">
        <f t="shared" si="223"/>
        <v>1.500379294223412</v>
      </c>
      <c r="S250" s="67" t="str">
        <f t="shared" si="212"/>
        <v>1+0,393823042551879i</v>
      </c>
      <c r="T250" s="67">
        <f t="shared" si="224"/>
        <v>1.0747541992682881</v>
      </c>
      <c r="U250" s="67">
        <f t="shared" si="225"/>
        <v>0.37517009814353791</v>
      </c>
      <c r="V250" t="str">
        <f t="shared" si="213"/>
        <v>1-0,0820464671983081i</v>
      </c>
      <c r="W250" s="67">
        <f t="shared" si="226"/>
        <v>1.0033601660319802</v>
      </c>
      <c r="X250" s="67">
        <f t="shared" si="227"/>
        <v>-8.1863105268643085E-2</v>
      </c>
      <c r="Y250" t="str">
        <f t="shared" si="214"/>
        <v>0,999720629867366+0,142364190615446i</v>
      </c>
      <c r="Z250" s="67">
        <f t="shared" si="228"/>
        <v>1.0098063678507845</v>
      </c>
      <c r="AA250" s="67">
        <f t="shared" si="229"/>
        <v>0.14145292100782247</v>
      </c>
      <c r="AB250" s="92" t="str">
        <f t="shared" si="230"/>
        <v>0,227587782979126-1,00700192917048i</v>
      </c>
      <c r="AC250" s="37">
        <f t="shared" si="231"/>
        <v>0.2769571642661306</v>
      </c>
      <c r="AD250" s="60">
        <f t="shared" si="232"/>
        <v>-77.264803807959098</v>
      </c>
      <c r="AE250" t="str">
        <f t="shared" si="233"/>
        <v>21,0353732052265</v>
      </c>
      <c r="AF250" t="str">
        <f t="shared" si="215"/>
        <v>1+7,08881476593383i</v>
      </c>
      <c r="AG250">
        <f t="shared" si="234"/>
        <v>7.1590009628244582</v>
      </c>
      <c r="AH250">
        <f t="shared" si="235"/>
        <v>1.4306537503869683</v>
      </c>
      <c r="AI250" t="str">
        <f t="shared" si="216"/>
        <v>1+0,393823042551879i</v>
      </c>
      <c r="AJ250">
        <f t="shared" si="236"/>
        <v>1.0747541992682881</v>
      </c>
      <c r="AK250">
        <f t="shared" si="237"/>
        <v>0.37517009814353791</v>
      </c>
      <c r="AL250" t="str">
        <f t="shared" si="217"/>
        <v>1-0,0267962639778469i</v>
      </c>
      <c r="AM250">
        <f t="shared" si="238"/>
        <v>1.0003589554570751</v>
      </c>
      <c r="AN250">
        <f t="shared" si="239"/>
        <v>-2.6789853145213146E-2</v>
      </c>
      <c r="AO250" s="58" t="str">
        <f t="shared" si="240"/>
        <v>1,48263326403833-2,78956731096281i</v>
      </c>
      <c r="AP250">
        <f t="shared" si="241"/>
        <v>9.9912563164428132</v>
      </c>
      <c r="AQ250" s="60">
        <f t="shared" si="242"/>
        <v>-62.009704137598526</v>
      </c>
      <c r="AR250" t="str">
        <f t="shared" si="218"/>
        <v>-1,05811623246493</v>
      </c>
      <c r="AS250" t="str">
        <f t="shared" si="219"/>
        <v>1+0,388151990739132i</v>
      </c>
      <c r="AT250">
        <f t="shared" si="243"/>
        <v>1.0726891292050793</v>
      </c>
      <c r="AU250">
        <f t="shared" si="244"/>
        <v>0.37025103568969592</v>
      </c>
      <c r="AV250" t="str">
        <f t="shared" si="220"/>
        <v>1+0,388151990739132i</v>
      </c>
      <c r="AW250">
        <f t="shared" si="245"/>
        <v>1.0726891292050793</v>
      </c>
      <c r="AX250">
        <f t="shared" si="246"/>
        <v>0.37025103568969592</v>
      </c>
      <c r="AY250" t="str">
        <f t="shared" si="221"/>
        <v>1-0,0655788094918025i</v>
      </c>
      <c r="AZ250">
        <f t="shared" si="247"/>
        <v>1.0021479832112432</v>
      </c>
      <c r="BA250">
        <f t="shared" si="248"/>
        <v>-6.5485042347288192E-2</v>
      </c>
      <c r="BB250" s="58" t="str">
        <f t="shared" si="249"/>
        <v>-0,896164463137845+0,417238023225621i</v>
      </c>
      <c r="BC250">
        <f t="shared" si="250"/>
        <v>-0.10017291441044436</v>
      </c>
      <c r="BD250" s="60">
        <f t="shared" si="251"/>
        <v>155.03416174689775</v>
      </c>
      <c r="BE250" s="58" t="str">
        <f t="shared" si="252"/>
        <v>0,216203410961257+0,997397619914349i</v>
      </c>
      <c r="BF250" s="37">
        <f t="shared" si="253"/>
        <v>0.17678424985568306</v>
      </c>
      <c r="BG250" s="60">
        <f t="shared" si="254"/>
        <v>77.769357938938654</v>
      </c>
      <c r="BH250" s="58" t="str">
        <f t="shared" si="255"/>
        <v>-0,164769692616287+3,11852206387177i</v>
      </c>
      <c r="BI250" s="37">
        <f t="shared" si="256"/>
        <v>9.891083402032363</v>
      </c>
      <c r="BJ250" s="60">
        <f t="shared" si="257"/>
        <v>93.024457609299219</v>
      </c>
      <c r="BK250">
        <f t="shared" si="258"/>
        <v>0.17678424985568306</v>
      </c>
      <c r="BL250" s="60">
        <f t="shared" si="259"/>
        <v>77.769357938938654</v>
      </c>
      <c r="BN250">
        <f t="shared" si="260"/>
        <v>2089.2961308540398</v>
      </c>
      <c r="BO250">
        <f t="shared" si="261"/>
        <v>77.769357938938654</v>
      </c>
    </row>
    <row r="251" spans="13:67" x14ac:dyDescent="0.25">
      <c r="M251" s="66">
        <v>33</v>
      </c>
      <c r="N251" s="36">
        <f t="shared" si="262"/>
        <v>2137.9620895022344</v>
      </c>
      <c r="O251" s="91" t="str">
        <f t="shared" si="210"/>
        <v>13,7404580152672</v>
      </c>
      <c r="P251" s="67" t="str">
        <f t="shared" si="211"/>
        <v>1+14,5078689471128i</v>
      </c>
      <c r="Q251" s="67">
        <f t="shared" si="222"/>
        <v>14.542292164119104</v>
      </c>
      <c r="R251" s="67">
        <f t="shared" si="223"/>
        <v>1.5019770668394179</v>
      </c>
      <c r="S251" s="67" t="str">
        <f t="shared" si="212"/>
        <v>1+0,402996359642022i</v>
      </c>
      <c r="T251" s="67">
        <f t="shared" si="224"/>
        <v>1.0781493708594936</v>
      </c>
      <c r="U251" s="67">
        <f t="shared" si="225"/>
        <v>0.38308677389937695</v>
      </c>
      <c r="V251" t="str">
        <f t="shared" si="213"/>
        <v>1-0,0839575749254212i</v>
      </c>
      <c r="W251" s="67">
        <f t="shared" si="226"/>
        <v>1.003518248158626</v>
      </c>
      <c r="X251" s="67">
        <f t="shared" si="227"/>
        <v>-8.3761136261579744E-2</v>
      </c>
      <c r="Y251" t="str">
        <f t="shared" si="214"/>
        <v>0,999707463558646+0,145680278608507i</v>
      </c>
      <c r="Z251" s="67">
        <f t="shared" si="228"/>
        <v>1.0102661809000211</v>
      </c>
      <c r="AA251" s="67">
        <f t="shared" si="229"/>
        <v>0.14470437062322816</v>
      </c>
      <c r="AB251" s="92" t="str">
        <f t="shared" si="230"/>
        <v>0,224222355282122-0,986743074003992i</v>
      </c>
      <c r="AC251" s="37">
        <f t="shared" si="231"/>
        <v>0.10273473497710742</v>
      </c>
      <c r="AD251" s="60">
        <f t="shared" si="232"/>
        <v>-77.197800832437196</v>
      </c>
      <c r="AE251" t="str">
        <f t="shared" si="233"/>
        <v>21,0353732052265</v>
      </c>
      <c r="AF251" t="str">
        <f t="shared" si="215"/>
        <v>1+7,2539344735564i</v>
      </c>
      <c r="AG251">
        <f t="shared" si="234"/>
        <v>7.322538176523901</v>
      </c>
      <c r="AH251">
        <f t="shared" si="235"/>
        <v>1.4338035691352438</v>
      </c>
      <c r="AI251" t="str">
        <f t="shared" si="216"/>
        <v>1+0,402996359642022i</v>
      </c>
      <c r="AJ251">
        <f t="shared" si="236"/>
        <v>1.0781493708594936</v>
      </c>
      <c r="AK251">
        <f t="shared" si="237"/>
        <v>0.38308677389937695</v>
      </c>
      <c r="AL251" t="str">
        <f t="shared" si="217"/>
        <v>1-0,0274204291478359i</v>
      </c>
      <c r="AM251">
        <f t="shared" si="238"/>
        <v>1.0003758693284497</v>
      </c>
      <c r="AN251">
        <f t="shared" si="239"/>
        <v>-2.7413559956295491E-2</v>
      </c>
      <c r="AO251" s="58" t="str">
        <f t="shared" si="240"/>
        <v>1,46544751779277-2,72988040365921i</v>
      </c>
      <c r="AP251">
        <f t="shared" si="241"/>
        <v>9.8226143622668314</v>
      </c>
      <c r="AQ251" s="60">
        <f t="shared" si="242"/>
        <v>-61.772319117451225</v>
      </c>
      <c r="AR251" t="str">
        <f t="shared" si="218"/>
        <v>-1,05811623246493</v>
      </c>
      <c r="AS251" t="str">
        <f t="shared" si="219"/>
        <v>1+0,397193212063177i</v>
      </c>
      <c r="AT251">
        <f t="shared" si="243"/>
        <v>1.0759937024486081</v>
      </c>
      <c r="AU251">
        <f t="shared" si="244"/>
        <v>0.37808439293391827</v>
      </c>
      <c r="AV251" t="str">
        <f t="shared" si="220"/>
        <v>1+0,397193212063177i</v>
      </c>
      <c r="AW251">
        <f t="shared" si="245"/>
        <v>1.0759937024486081</v>
      </c>
      <c r="AX251">
        <f t="shared" si="246"/>
        <v>0.37808439293391827</v>
      </c>
      <c r="AY251" t="str">
        <f t="shared" si="221"/>
        <v>1-0,0640860535413598i</v>
      </c>
      <c r="AZ251">
        <f t="shared" si="247"/>
        <v>1.0020514069939257</v>
      </c>
      <c r="BA251">
        <f t="shared" si="248"/>
        <v>-6.3998534822355763E-2</v>
      </c>
      <c r="BB251" s="58" t="str">
        <f t="shared" si="249"/>
        <v>-0,890668346317436+0,42157791488355i</v>
      </c>
      <c r="BC251">
        <f t="shared" si="250"/>
        <v>-0.12772700854993141</v>
      </c>
      <c r="BD251" s="60">
        <f t="shared" si="251"/>
        <v>154.67051404477863</v>
      </c>
      <c r="BE251" s="58" t="str">
        <f t="shared" si="252"/>
        <v>0,216281333277859+0,973388014973434i</v>
      </c>
      <c r="BF251" s="37">
        <f t="shared" si="253"/>
        <v>-2.4992273572829564E-2</v>
      </c>
      <c r="BG251" s="60">
        <f t="shared" si="254"/>
        <v>77.472713212341432</v>
      </c>
      <c r="BH251" s="58" t="str">
        <f t="shared" si="255"/>
        <v>-0,154370428831364+3,04921837369387i</v>
      </c>
      <c r="BI251" s="37">
        <f t="shared" si="256"/>
        <v>9.6948873537168883</v>
      </c>
      <c r="BJ251" s="60">
        <f t="shared" si="257"/>
        <v>92.898194927327395</v>
      </c>
      <c r="BK251">
        <f t="shared" si="258"/>
        <v>-2.4992273572829564E-2</v>
      </c>
      <c r="BL251" s="60">
        <f t="shared" si="259"/>
        <v>77.472713212341432</v>
      </c>
      <c r="BN251">
        <f t="shared" si="260"/>
        <v>0</v>
      </c>
      <c r="BO251">
        <f t="shared" si="261"/>
        <v>0</v>
      </c>
    </row>
    <row r="252" spans="13:67" x14ac:dyDescent="0.25">
      <c r="M252" s="66">
        <v>34</v>
      </c>
      <c r="N252" s="36">
        <f t="shared" si="262"/>
        <v>2187.7616239495528</v>
      </c>
      <c r="O252" s="91" t="str">
        <f t="shared" si="210"/>
        <v>13,7404580152672</v>
      </c>
      <c r="P252" s="67" t="str">
        <f t="shared" si="211"/>
        <v>1+14,8458006265081i</v>
      </c>
      <c r="Q252" s="67">
        <f t="shared" si="222"/>
        <v>14.879442067565176</v>
      </c>
      <c r="R252" s="67">
        <f t="shared" si="223"/>
        <v>1.5035388098488482</v>
      </c>
      <c r="S252" s="67" t="str">
        <f t="shared" si="212"/>
        <v>1+0,412383350736336i</v>
      </c>
      <c r="T252" s="67">
        <f t="shared" si="224"/>
        <v>1.0816931302197161</v>
      </c>
      <c r="U252" s="67">
        <f t="shared" si="225"/>
        <v>0.39113588811566019</v>
      </c>
      <c r="V252" t="str">
        <f t="shared" si="213"/>
        <v>1-0,08591319807007i</v>
      </c>
      <c r="W252" s="67">
        <f t="shared" si="226"/>
        <v>1.0036837537803565</v>
      </c>
      <c r="X252" s="67">
        <f t="shared" si="227"/>
        <v>-8.5702751950972419E-2</v>
      </c>
      <c r="Y252" t="str">
        <f t="shared" si="214"/>
        <v>0,999693676740913+0,149073608213593i</v>
      </c>
      <c r="Z252" s="67">
        <f t="shared" si="228"/>
        <v>1.0107474402547774</v>
      </c>
      <c r="AA252" s="67">
        <f t="shared" si="229"/>
        <v>0.14802850343799351</v>
      </c>
      <c r="AB252" s="92" t="str">
        <f t="shared" si="230"/>
        <v>0,220975059127128-0,966984092104142i</v>
      </c>
      <c r="AC252" s="37">
        <f t="shared" si="231"/>
        <v>-7.0542430763458522E-2</v>
      </c>
      <c r="AD252" s="60">
        <f t="shared" si="232"/>
        <v>-77.127807007415456</v>
      </c>
      <c r="AE252" t="str">
        <f t="shared" si="233"/>
        <v>21,0353732052265</v>
      </c>
      <c r="AF252" t="str">
        <f t="shared" si="215"/>
        <v>1+7,42290031325405i</v>
      </c>
      <c r="AG252">
        <f t="shared" si="234"/>
        <v>7.4899565459692132</v>
      </c>
      <c r="AH252">
        <f t="shared" si="235"/>
        <v>1.436884334728002</v>
      </c>
      <c r="AI252" t="str">
        <f t="shared" si="216"/>
        <v>1+0,412383350736336i</v>
      </c>
      <c r="AJ252">
        <f t="shared" si="236"/>
        <v>1.0816931302197161</v>
      </c>
      <c r="AK252">
        <f t="shared" si="237"/>
        <v>0.39113588811566019</v>
      </c>
      <c r="AL252" t="str">
        <f t="shared" si="217"/>
        <v>1-0,0280591329923114i</v>
      </c>
      <c r="AM252">
        <f t="shared" si="238"/>
        <v>1.0003935800195243</v>
      </c>
      <c r="AN252">
        <f t="shared" si="239"/>
        <v>-2.805177267735412E-2</v>
      </c>
      <c r="AO252" s="58" t="str">
        <f t="shared" si="240"/>
        <v>1,44900703221656-2,67143140129531i</v>
      </c>
      <c r="AP252">
        <f t="shared" si="241"/>
        <v>9.6549178206591488</v>
      </c>
      <c r="AQ252" s="60">
        <f t="shared" si="242"/>
        <v>-61.524220605521812</v>
      </c>
      <c r="AR252" t="str">
        <f t="shared" si="218"/>
        <v>-1,05811623246493</v>
      </c>
      <c r="AS252" t="str">
        <f t="shared" si="219"/>
        <v>1+0,406445030485733i</v>
      </c>
      <c r="AT252">
        <f t="shared" si="243"/>
        <v>1.0794431725693339</v>
      </c>
      <c r="AU252">
        <f t="shared" si="244"/>
        <v>0.38605006054194035</v>
      </c>
      <c r="AV252" t="str">
        <f t="shared" si="220"/>
        <v>1+0,406445030485733i</v>
      </c>
      <c r="AW252">
        <f t="shared" si="245"/>
        <v>1.0794431725693339</v>
      </c>
      <c r="AX252">
        <f t="shared" si="246"/>
        <v>0.38605006054194035</v>
      </c>
      <c r="AY252" t="str">
        <f t="shared" si="221"/>
        <v>1-0,0626272768647837i</v>
      </c>
      <c r="AZ252">
        <f t="shared" si="247"/>
        <v>1.0019591687326876</v>
      </c>
      <c r="BA252">
        <f t="shared" si="248"/>
        <v>-6.2545590614751984E-2</v>
      </c>
      <c r="BB252" s="58" t="str">
        <f t="shared" si="249"/>
        <v>-0,884984999664525+0,425964693413767i</v>
      </c>
      <c r="BC252">
        <f t="shared" si="250"/>
        <v>-0.15632766198011344</v>
      </c>
      <c r="BD252" s="60">
        <f t="shared" si="251"/>
        <v>154.29736248079857</v>
      </c>
      <c r="BE252" s="58" t="str">
        <f t="shared" si="252"/>
        <v>0,216341469701641+0,949893989739561i</v>
      </c>
      <c r="BF252" s="37">
        <f t="shared" si="253"/>
        <v>-0.22687009274357484</v>
      </c>
      <c r="BG252" s="60">
        <f t="shared" si="254"/>
        <v>77.169555473383113</v>
      </c>
      <c r="BH252" s="58" t="str">
        <f t="shared" si="255"/>
        <v>-0,1444140300914+2,98140255401165i</v>
      </c>
      <c r="BI252" s="37">
        <f t="shared" si="256"/>
        <v>9.4985901586790327</v>
      </c>
      <c r="BJ252" s="60">
        <f t="shared" si="257"/>
        <v>92.773141875276764</v>
      </c>
      <c r="BK252">
        <f t="shared" si="258"/>
        <v>-0.22687009274357484</v>
      </c>
      <c r="BL252" s="60">
        <f t="shared" si="259"/>
        <v>77.169555473383113</v>
      </c>
      <c r="BN252">
        <f t="shared" si="260"/>
        <v>0</v>
      </c>
      <c r="BO252">
        <f t="shared" si="261"/>
        <v>0</v>
      </c>
    </row>
    <row r="253" spans="13:67" x14ac:dyDescent="0.25">
      <c r="M253" s="66">
        <v>35</v>
      </c>
      <c r="N253" s="36">
        <f t="shared" si="262"/>
        <v>2238.7211385683418</v>
      </c>
      <c r="O253" s="91" t="str">
        <f t="shared" si="210"/>
        <v>13,7404580152672</v>
      </c>
      <c r="P253" s="67" t="str">
        <f t="shared" si="211"/>
        <v>1+15,191603745903i</v>
      </c>
      <c r="Q253" s="67">
        <f t="shared" si="222"/>
        <v>15.224481087135091</v>
      </c>
      <c r="R253" s="67">
        <f t="shared" si="223"/>
        <v>1.5050653208181395</v>
      </c>
      <c r="S253" s="67" t="str">
        <f t="shared" si="212"/>
        <v>1+0,42198899294175i</v>
      </c>
      <c r="T253" s="67">
        <f t="shared" si="224"/>
        <v>1.0853915008714563</v>
      </c>
      <c r="U253" s="67">
        <f t="shared" si="225"/>
        <v>0.39931753559121108</v>
      </c>
      <c r="V253" t="str">
        <f t="shared" si="213"/>
        <v>1-0,0879143735295312i</v>
      </c>
      <c r="W253" s="67">
        <f t="shared" si="226"/>
        <v>1.0038570301955803</v>
      </c>
      <c r="X253" s="67">
        <f t="shared" si="227"/>
        <v>-8.7688923217490153E-2</v>
      </c>
      <c r="Y253" t="str">
        <f t="shared" si="214"/>
        <v>0,999679240170478+0,152545978618977i</v>
      </c>
      <c r="Z253" s="67">
        <f t="shared" si="228"/>
        <v>1.0112511353865792</v>
      </c>
      <c r="AA253" s="67">
        <f t="shared" si="229"/>
        <v>0.15142680035576941</v>
      </c>
      <c r="AB253" s="92" t="str">
        <f t="shared" si="230"/>
        <v>0,217839270991078-0,947715414077663i</v>
      </c>
      <c r="AC253" s="37">
        <f t="shared" si="231"/>
        <v>-0.24284060975332256</v>
      </c>
      <c r="AD253" s="60">
        <f t="shared" si="232"/>
        <v>-77.055003075405793</v>
      </c>
      <c r="AE253" t="str">
        <f t="shared" si="233"/>
        <v>21,0353732052265</v>
      </c>
      <c r="AF253" t="str">
        <f t="shared" si="215"/>
        <v>1+7,59580187295151i</v>
      </c>
      <c r="AG253">
        <f t="shared" si="234"/>
        <v>7.6613449271739276</v>
      </c>
      <c r="AH253">
        <f t="shared" si="235"/>
        <v>1.4398974465854175</v>
      </c>
      <c r="AI253" t="str">
        <f t="shared" si="216"/>
        <v>1+0,42198899294175i</v>
      </c>
      <c r="AJ253">
        <f t="shared" si="236"/>
        <v>1.0853915008714563</v>
      </c>
      <c r="AK253">
        <f t="shared" si="237"/>
        <v>0.39931753559121108</v>
      </c>
      <c r="AL253" t="str">
        <f t="shared" si="217"/>
        <v>1-0,0287127141605061i</v>
      </c>
      <c r="AM253">
        <f t="shared" si="238"/>
        <v>1.0004121250537015</v>
      </c>
      <c r="AN253">
        <f t="shared" si="239"/>
        <v>-2.8704827616399725E-2</v>
      </c>
      <c r="AO253" s="58" t="str">
        <f t="shared" si="240"/>
        <v>1,43328068360277-2,61420280404895i</v>
      </c>
      <c r="AP253">
        <f t="shared" si="241"/>
        <v>9.4882113879233057</v>
      </c>
      <c r="AQ253" s="60">
        <f t="shared" si="242"/>
        <v>-61.265502620137042</v>
      </c>
      <c r="AR253" t="str">
        <f t="shared" si="218"/>
        <v>-1,05811623246493</v>
      </c>
      <c r="AS253" t="str">
        <f t="shared" si="219"/>
        <v>1+0,415912351443389i</v>
      </c>
      <c r="AT253">
        <f t="shared" si="243"/>
        <v>1.0830434359171239</v>
      </c>
      <c r="AU253">
        <f t="shared" si="244"/>
        <v>0.39414821748530954</v>
      </c>
      <c r="AV253" t="str">
        <f t="shared" si="220"/>
        <v>1+0,415912351443389i</v>
      </c>
      <c r="AW253">
        <f t="shared" si="245"/>
        <v>1.0830434359171239</v>
      </c>
      <c r="AX253">
        <f t="shared" si="246"/>
        <v>0.39414821748530954</v>
      </c>
      <c r="AY253" t="str">
        <f t="shared" si="221"/>
        <v>1-0,0612017059993712i</v>
      </c>
      <c r="AZ253">
        <f t="shared" si="247"/>
        <v>1.0018710739497541</v>
      </c>
      <c r="BA253">
        <f t="shared" si="248"/>
        <v>-6.1125463905930502E-2</v>
      </c>
      <c r="BB253" s="58" t="str">
        <f t="shared" si="249"/>
        <v>-0,879111027875952+0,430391653356183i</v>
      </c>
      <c r="BC253">
        <f t="shared" si="250"/>
        <v>-0.18601319609891118</v>
      </c>
      <c r="BD253" s="60">
        <f t="shared" si="251"/>
        <v>153.91473953289821</v>
      </c>
      <c r="BE253" s="58" t="str">
        <f t="shared" si="252"/>
        <v>0,21638389854331+0,926903275811453i</v>
      </c>
      <c r="BF253" s="37">
        <f t="shared" si="253"/>
        <v>-0.42885380585223731</v>
      </c>
      <c r="BG253" s="60">
        <f t="shared" si="254"/>
        <v>76.859736457492431</v>
      </c>
      <c r="BH253" s="58" t="str">
        <f t="shared" si="255"/>
        <v>-0,134881787953781+2,91504655728294i</v>
      </c>
      <c r="BI253" s="37">
        <f t="shared" si="256"/>
        <v>9.302198191824381</v>
      </c>
      <c r="BJ253" s="60">
        <f t="shared" si="257"/>
        <v>92.649236912761168</v>
      </c>
      <c r="BK253">
        <f t="shared" si="258"/>
        <v>-0.42885380585223731</v>
      </c>
      <c r="BL253" s="60">
        <f t="shared" si="259"/>
        <v>76.859736457492431</v>
      </c>
      <c r="BN253">
        <f t="shared" si="260"/>
        <v>0</v>
      </c>
      <c r="BO253">
        <f t="shared" si="261"/>
        <v>0</v>
      </c>
    </row>
    <row r="254" spans="13:67" x14ac:dyDescent="0.25">
      <c r="M254" s="66">
        <v>36</v>
      </c>
      <c r="N254" s="36">
        <f t="shared" si="262"/>
        <v>2290.8676527677749</v>
      </c>
      <c r="O254" s="91" t="str">
        <f t="shared" si="210"/>
        <v>13,7404580152672</v>
      </c>
      <c r="P254" s="67" t="str">
        <f t="shared" si="211"/>
        <v>1+15,5454616546886i</v>
      </c>
      <c r="Q254" s="67">
        <f t="shared" si="222"/>
        <v>15.577592177785167</v>
      </c>
      <c r="R254" s="67">
        <f t="shared" si="223"/>
        <v>1.5065573806505528</v>
      </c>
      <c r="S254" s="67" t="str">
        <f t="shared" si="212"/>
        <v>1+0,431818379296905i</v>
      </c>
      <c r="T254" s="67">
        <f t="shared" si="224"/>
        <v>1.0892507115896715</v>
      </c>
      <c r="U254" s="67">
        <f t="shared" si="225"/>
        <v>0.40763167190028277</v>
      </c>
      <c r="V254" t="str">
        <f t="shared" si="213"/>
        <v>1-0,0899621623535219i</v>
      </c>
      <c r="W254" s="67">
        <f t="shared" si="226"/>
        <v>1.0040384408255101</v>
      </c>
      <c r="X254" s="67">
        <f t="shared" si="227"/>
        <v>-8.9720640439055449E-2</v>
      </c>
      <c r="Y254" t="str">
        <f t="shared" si="214"/>
        <v>0,99966412322544+0,156099230921409i</v>
      </c>
      <c r="Z254" s="67">
        <f t="shared" si="228"/>
        <v>1.0117783003990266</v>
      </c>
      <c r="AA254" s="67">
        <f t="shared" si="229"/>
        <v>0.15490076234475519</v>
      </c>
      <c r="AB254" s="92" t="str">
        <f t="shared" si="230"/>
        <v>0,214808598021073-0,92892762820136i</v>
      </c>
      <c r="AC254" s="37">
        <f t="shared" si="231"/>
        <v>-0.41412576543553503</v>
      </c>
      <c r="AD254" s="60">
        <f t="shared" si="232"/>
        <v>-76.979579067895315</v>
      </c>
      <c r="AE254" t="str">
        <f t="shared" si="233"/>
        <v>21,0353732052265</v>
      </c>
      <c r="AF254" t="str">
        <f t="shared" si="215"/>
        <v>1+7,7727308273443i</v>
      </c>
      <c r="AG254">
        <f t="shared" si="234"/>
        <v>7.8367942753621147</v>
      </c>
      <c r="AH254">
        <f t="shared" si="235"/>
        <v>1.4428442833389383</v>
      </c>
      <c r="AI254" t="str">
        <f t="shared" si="216"/>
        <v>1+0,431818379296905i</v>
      </c>
      <c r="AJ254">
        <f t="shared" si="236"/>
        <v>1.0892507115896715</v>
      </c>
      <c r="AK254">
        <f t="shared" si="237"/>
        <v>0.40763167190028277</v>
      </c>
      <c r="AL254" t="str">
        <f t="shared" si="217"/>
        <v>1-0,0293815191898062i</v>
      </c>
      <c r="AM254">
        <f t="shared" si="238"/>
        <v>1.0004315437199593</v>
      </c>
      <c r="AN254">
        <f t="shared" si="239"/>
        <v>-2.937306880240664E-2</v>
      </c>
      <c r="AO254" s="58" t="str">
        <f t="shared" si="240"/>
        <v>1,41823854443366-2,55817691095508i</v>
      </c>
      <c r="AP254">
        <f t="shared" si="241"/>
        <v>9.3225400867500454</v>
      </c>
      <c r="AQ254" s="60">
        <f t="shared" si="242"/>
        <v>-60.996266407876753</v>
      </c>
      <c r="AR254" t="str">
        <f t="shared" si="218"/>
        <v>-1,05811623246493</v>
      </c>
      <c r="AS254" t="str">
        <f t="shared" si="219"/>
        <v>1+0,42560019463503i</v>
      </c>
      <c r="AT254">
        <f t="shared" si="243"/>
        <v>1.0868005914947669</v>
      </c>
      <c r="AU254">
        <f t="shared" si="244"/>
        <v>0.40237890784058544</v>
      </c>
      <c r="AV254" t="str">
        <f t="shared" si="220"/>
        <v>1+0,42560019463503i</v>
      </c>
      <c r="AW254">
        <f t="shared" si="245"/>
        <v>1.0868005914947669</v>
      </c>
      <c r="AX254">
        <f t="shared" si="246"/>
        <v>0.40237890784058544</v>
      </c>
      <c r="AY254" t="str">
        <f t="shared" si="221"/>
        <v>1-0,0598085850885802i</v>
      </c>
      <c r="AZ254">
        <f t="shared" si="247"/>
        <v>1.0017869368534897</v>
      </c>
      <c r="BA254">
        <f t="shared" si="248"/>
        <v>-5.9737424651281568E-2</v>
      </c>
      <c r="BB254" s="58" t="str">
        <f t="shared" si="249"/>
        <v>-0,873043221811124+0,434851799850595i</v>
      </c>
      <c r="BC254">
        <f t="shared" si="250"/>
        <v>-0.21682249888099903</v>
      </c>
      <c r="BD254" s="60">
        <f t="shared" si="251"/>
        <v>153.52268450415173</v>
      </c>
      <c r="BE254" s="58" t="str">
        <f t="shared" si="252"/>
        <v>0,216408660565258+0,904403874827128i</v>
      </c>
      <c r="BF254" s="37">
        <f t="shared" si="253"/>
        <v>-0.63094826431653117</v>
      </c>
      <c r="BG254" s="60">
        <f t="shared" si="254"/>
        <v>76.543105436256397</v>
      </c>
      <c r="BH254" s="58" t="str">
        <f t="shared" si="255"/>
        <v>-0,12575571406403+2,85012259596752i</v>
      </c>
      <c r="BI254" s="37">
        <f t="shared" si="256"/>
        <v>9.1057175878690551</v>
      </c>
      <c r="BJ254" s="60">
        <f t="shared" si="257"/>
        <v>92.52641809627498</v>
      </c>
      <c r="BK254">
        <f t="shared" si="258"/>
        <v>-0.63094826431653117</v>
      </c>
      <c r="BL254" s="60">
        <f t="shared" si="259"/>
        <v>76.543105436256397</v>
      </c>
      <c r="BN254">
        <f t="shared" si="260"/>
        <v>0</v>
      </c>
      <c r="BO254">
        <f t="shared" si="261"/>
        <v>0</v>
      </c>
    </row>
    <row r="255" spans="13:67" x14ac:dyDescent="0.25">
      <c r="M255" s="66">
        <v>37</v>
      </c>
      <c r="N255" s="36">
        <f t="shared" si="262"/>
        <v>2344.2288153199238</v>
      </c>
      <c r="O255" s="91" t="str">
        <f t="shared" si="210"/>
        <v>13,7404580152672</v>
      </c>
      <c r="P255" s="67" t="str">
        <f t="shared" si="211"/>
        <v>1+15,907561973012i</v>
      </c>
      <c r="Q255" s="67">
        <f t="shared" si="222"/>
        <v>15.938962573681433</v>
      </c>
      <c r="R255" s="67">
        <f t="shared" si="223"/>
        <v>1.5080157538674941</v>
      </c>
      <c r="S255" s="67" t="str">
        <f t="shared" si="212"/>
        <v>1+0,441876721472556i</v>
      </c>
      <c r="T255" s="67">
        <f t="shared" si="224"/>
        <v>1.0932772004296691</v>
      </c>
      <c r="U255" s="67">
        <f t="shared" si="225"/>
        <v>0.41607810654830946</v>
      </c>
      <c r="V255" t="str">
        <f t="shared" si="213"/>
        <v>1-0,0920576503067825i</v>
      </c>
      <c r="W255" s="67">
        <f t="shared" si="226"/>
        <v>1.0042283659506963</v>
      </c>
      <c r="X255" s="67">
        <f t="shared" si="227"/>
        <v>-9.1798913728477385E-2</v>
      </c>
      <c r="Y255" t="str">
        <f t="shared" si="214"/>
        <v>0,999648293840731+0,159735249102293i</v>
      </c>
      <c r="Z255" s="67">
        <f t="shared" si="228"/>
        <v>1.0123300159456183</v>
      </c>
      <c r="AA255" s="67">
        <f t="shared" si="229"/>
        <v>0.15845190995979219</v>
      </c>
      <c r="AB255" s="92" t="str">
        <f t="shared" si="230"/>
        <v>0,211876866546191-0,910611479368588i</v>
      </c>
      <c r="AC255" s="37">
        <f t="shared" si="231"/>
        <v>-0.58436359295554319</v>
      </c>
      <c r="AD255" s="60">
        <f t="shared" si="232"/>
        <v>-76.901734699844241</v>
      </c>
      <c r="AE255" t="str">
        <f t="shared" si="233"/>
        <v>21,0353732052265</v>
      </c>
      <c r="AF255" t="str">
        <f t="shared" si="215"/>
        <v>1+7,95378098650602i</v>
      </c>
      <c r="AG255">
        <f t="shared" si="234"/>
        <v>8.0163976935594139</v>
      </c>
      <c r="AH255">
        <f t="shared" si="235"/>
        <v>1.4457262026126707</v>
      </c>
      <c r="AI255" t="str">
        <f t="shared" si="216"/>
        <v>1+0,441876721472556i</v>
      </c>
      <c r="AJ255">
        <f t="shared" si="236"/>
        <v>1.0932772004296691</v>
      </c>
      <c r="AK255">
        <f t="shared" si="237"/>
        <v>0.41607810654830946</v>
      </c>
      <c r="AL255" t="str">
        <f t="shared" si="217"/>
        <v>1-0,0300659026894912i</v>
      </c>
      <c r="AM255">
        <f t="shared" si="238"/>
        <v>1.0004518771557851</v>
      </c>
      <c r="AN255">
        <f t="shared" si="239"/>
        <v>-3.0056848157126122E-2</v>
      </c>
      <c r="AO255" s="58" t="str">
        <f t="shared" si="240"/>
        <v>1,40385184651953-2,50333586166671i</v>
      </c>
      <c r="AP255">
        <f t="shared" si="241"/>
        <v>9.1579492375600768</v>
      </c>
      <c r="AQ255" s="60">
        <f t="shared" si="242"/>
        <v>-60.716620833037481</v>
      </c>
      <c r="AR255" t="str">
        <f t="shared" si="218"/>
        <v>-1,05811623246493</v>
      </c>
      <c r="AS255" t="str">
        <f t="shared" si="219"/>
        <v>1+0,435513696683351i</v>
      </c>
      <c r="AT255">
        <f t="shared" si="243"/>
        <v>1.0907209450628506</v>
      </c>
      <c r="AU255">
        <f t="shared" si="244"/>
        <v>0.41074203392137132</v>
      </c>
      <c r="AV255" t="str">
        <f t="shared" si="220"/>
        <v>1+0,435513696683351i</v>
      </c>
      <c r="AW255">
        <f t="shared" si="245"/>
        <v>1.0907209450628506</v>
      </c>
      <c r="AX255">
        <f t="shared" si="246"/>
        <v>0.41074203392137132</v>
      </c>
      <c r="AY255" t="str">
        <f t="shared" si="221"/>
        <v>1-0,0584471754812632i</v>
      </c>
      <c r="AZ255">
        <f t="shared" si="247"/>
        <v>1.0017065799533003</v>
      </c>
      <c r="BA255">
        <f t="shared" si="248"/>
        <v>-5.8380758300263375E-2</v>
      </c>
      <c r="BB255" s="58" t="str">
        <f t="shared" si="249"/>
        <v>-0,866778581584131+0,439337849390107i</v>
      </c>
      <c r="BC255">
        <f t="shared" si="250"/>
        <v>-0.24879498978605141</v>
      </c>
      <c r="BD255" s="60">
        <f t="shared" si="251"/>
        <v>153.12124393230769</v>
      </c>
      <c r="BE255" s="58" t="str">
        <f t="shared" si="252"/>
        <v>0,216415759120342+0,88238405334525i</v>
      </c>
      <c r="BF255" s="37">
        <f t="shared" si="253"/>
        <v>-0.83315858274159416</v>
      </c>
      <c r="BG255" s="60">
        <f t="shared" si="254"/>
        <v>76.219509232463437</v>
      </c>
      <c r="BH255" s="58" t="str">
        <f t="shared" si="255"/>
        <v>-0,117018518514679+2,78660315851638i</v>
      </c>
      <c r="BI255" s="37">
        <f t="shared" si="256"/>
        <v>8.9091542477740244</v>
      </c>
      <c r="BJ255" s="60">
        <f t="shared" si="257"/>
        <v>92.404623099270225</v>
      </c>
      <c r="BK255">
        <f t="shared" si="258"/>
        <v>-0.83315858274159416</v>
      </c>
      <c r="BL255" s="60">
        <f t="shared" si="259"/>
        <v>76.219509232463437</v>
      </c>
      <c r="BN255">
        <f t="shared" si="260"/>
        <v>0</v>
      </c>
      <c r="BO255">
        <f t="shared" si="261"/>
        <v>0</v>
      </c>
    </row>
    <row r="256" spans="13:67" x14ac:dyDescent="0.25">
      <c r="M256" s="66">
        <v>38</v>
      </c>
      <c r="N256" s="36">
        <f t="shared" si="262"/>
        <v>2398.8329190194918</v>
      </c>
      <c r="O256" s="91" t="str">
        <f t="shared" si="210"/>
        <v>13,7404580152672</v>
      </c>
      <c r="P256" s="67" t="str">
        <f t="shared" si="211"/>
        <v>1+16,278096691255i</v>
      </c>
      <c r="Q256" s="67">
        <f t="shared" si="222"/>
        <v>16.308783887520462</v>
      </c>
      <c r="R256" s="67">
        <f t="shared" si="223"/>
        <v>1.5094411888897985</v>
      </c>
      <c r="S256" s="67" t="str">
        <f t="shared" si="212"/>
        <v>1+0,45216935253486i</v>
      </c>
      <c r="T256" s="67">
        <f t="shared" si="224"/>
        <v>1.0974776186199855</v>
      </c>
      <c r="U256" s="67">
        <f t="shared" si="225"/>
        <v>0.4246564961959699</v>
      </c>
      <c r="V256" t="str">
        <f t="shared" si="213"/>
        <v>1-0,0942019484447625i</v>
      </c>
      <c r="W256" s="67">
        <f t="shared" si="226"/>
        <v>1.0044272034800679</v>
      </c>
      <c r="X256" s="67">
        <f t="shared" si="227"/>
        <v>-9.392477316190459E-2</v>
      </c>
      <c r="Y256" t="str">
        <f t="shared" si="214"/>
        <v>0,999631718440104+0,163455961026597i</v>
      </c>
      <c r="Z256" s="67">
        <f t="shared" si="228"/>
        <v>1.0129074112211065</v>
      </c>
      <c r="AA256" s="67">
        <f t="shared" si="229"/>
        <v>0.16208178279571495</v>
      </c>
      <c r="AB256" s="92" t="str">
        <f t="shared" si="230"/>
        <v>0,209038111012475-0,892757867707703i</v>
      </c>
      <c r="AC256" s="37">
        <f t="shared" si="231"/>
        <v>-0.75351956913081508</v>
      </c>
      <c r="AD256" s="60">
        <f t="shared" si="232"/>
        <v>-76.821679755803785</v>
      </c>
      <c r="AE256" t="str">
        <f t="shared" si="233"/>
        <v>21,0353732052265</v>
      </c>
      <c r="AF256" t="str">
        <f t="shared" si="215"/>
        <v>1+8,13904834562749i</v>
      </c>
      <c r="AG256">
        <f t="shared" si="234"/>
        <v>8.200250482300012</v>
      </c>
      <c r="AH256">
        <f t="shared" si="235"/>
        <v>1.4485445408510176</v>
      </c>
      <c r="AI256" t="str">
        <f t="shared" si="216"/>
        <v>1+0,45216935253486i</v>
      </c>
      <c r="AJ256">
        <f t="shared" si="236"/>
        <v>1.0974776186199855</v>
      </c>
      <c r="AK256">
        <f t="shared" si="237"/>
        <v>0.4246564961959699</v>
      </c>
      <c r="AL256" t="str">
        <f t="shared" si="217"/>
        <v>1-0,0307662275287514i</v>
      </c>
      <c r="AM256">
        <f t="shared" si="238"/>
        <v>1.000473168433992</v>
      </c>
      <c r="AN256">
        <f t="shared" si="239"/>
        <v>-3.075652567032813E-2</v>
      </c>
      <c r="AO256" s="58" t="str">
        <f t="shared" si="240"/>
        <v>1,39009294443037-2,44966167528222i</v>
      </c>
      <c r="AP256">
        <f t="shared" si="241"/>
        <v>8.9944844248743845</v>
      </c>
      <c r="AQ256" s="60">
        <f t="shared" si="242"/>
        <v>-60.426682766032158</v>
      </c>
      <c r="AR256" t="str">
        <f t="shared" si="218"/>
        <v>-1,05811623246493</v>
      </c>
      <c r="AS256" t="str">
        <f t="shared" si="219"/>
        <v>1+0,445658113858358i</v>
      </c>
      <c r="AT256">
        <f t="shared" si="243"/>
        <v>1.0948110131195199</v>
      </c>
      <c r="AU256">
        <f t="shared" si="244"/>
        <v>0.41923734945484226</v>
      </c>
      <c r="AV256" t="str">
        <f t="shared" si="220"/>
        <v>1+0,445658113858358i</v>
      </c>
      <c r="AW256">
        <f t="shared" si="245"/>
        <v>1.0948110131195199</v>
      </c>
      <c r="AX256">
        <f t="shared" si="246"/>
        <v>0.41923734945484226</v>
      </c>
      <c r="AY256" t="str">
        <f t="shared" si="221"/>
        <v>1-0,0571167553400263i</v>
      </c>
      <c r="AZ256">
        <f t="shared" si="247"/>
        <v>1.0016298336913554</v>
      </c>
      <c r="BA256">
        <f t="shared" si="248"/>
        <v>-5.7054765517740025E-2</v>
      </c>
      <c r="BB256" s="58" t="str">
        <f t="shared" si="249"/>
        <v>-0,860314340395517+0,443842232236973i</v>
      </c>
      <c r="BC256">
        <f t="shared" si="250"/>
        <v>-0.28197057997781122</v>
      </c>
      <c r="BD256" s="60">
        <f t="shared" si="251"/>
        <v>152.71047199671128</v>
      </c>
      <c r="BE256" s="58" t="str">
        <f t="shared" si="252"/>
        <v>0,216405160257285+0,860832337904238i</v>
      </c>
      <c r="BF256" s="37">
        <f t="shared" si="253"/>
        <v>-1.0354901491086248</v>
      </c>
      <c r="BG256" s="60">
        <f t="shared" si="254"/>
        <v>75.888792240907492</v>
      </c>
      <c r="BH256" s="58" t="str">
        <f t="shared" si="255"/>
        <v>-0,108653588393453+2,72446102383544i</v>
      </c>
      <c r="BI256" s="37">
        <f t="shared" si="256"/>
        <v>8.7125138448965664</v>
      </c>
      <c r="BJ256" s="60">
        <f t="shared" si="257"/>
        <v>92.283789230679133</v>
      </c>
      <c r="BK256">
        <f t="shared" si="258"/>
        <v>-1.0354901491086248</v>
      </c>
      <c r="BL256" s="60">
        <f t="shared" si="259"/>
        <v>75.888792240907492</v>
      </c>
      <c r="BN256">
        <f t="shared" si="260"/>
        <v>0</v>
      </c>
      <c r="BO256">
        <f t="shared" si="261"/>
        <v>0</v>
      </c>
    </row>
    <row r="257" spans="13:67" x14ac:dyDescent="0.25">
      <c r="M257" s="66">
        <v>39</v>
      </c>
      <c r="N257" s="36">
        <f t="shared" si="262"/>
        <v>2454.7089156850338</v>
      </c>
      <c r="O257" s="91" t="str">
        <f t="shared" si="210"/>
        <v>13,7404580152672</v>
      </c>
      <c r="P257" s="67" t="str">
        <f t="shared" si="211"/>
        <v>1+16,6572622718297i</v>
      </c>
      <c r="Q257" s="67">
        <f t="shared" si="222"/>
        <v>16.68725221216846</v>
      </c>
      <c r="R257" s="67">
        <f t="shared" si="223"/>
        <v>1.5108344183185742</v>
      </c>
      <c r="S257" s="67" t="str">
        <f t="shared" si="212"/>
        <v>1+0,462701729773048i</v>
      </c>
      <c r="T257" s="67">
        <f t="shared" si="224"/>
        <v>1.101858834304545</v>
      </c>
      <c r="U257" s="67">
        <f t="shared" si="225"/>
        <v>0.43336633799173724</v>
      </c>
      <c r="V257" t="str">
        <f t="shared" si="213"/>
        <v>1-0,0963961937027181i</v>
      </c>
      <c r="W257" s="67">
        <f t="shared" si="226"/>
        <v>1.0046353697538086</v>
      </c>
      <c r="X257" s="67">
        <f t="shared" si="227"/>
        <v>-9.6099268996927029E-2</v>
      </c>
      <c r="Y257" t="str">
        <f t="shared" si="214"/>
        <v>0,999614361864912+0,167263339465032i</v>
      </c>
      <c r="Z257" s="67">
        <f t="shared" si="228"/>
        <v>1.0135116660283638</v>
      </c>
      <c r="AA257" s="67">
        <f t="shared" si="229"/>
        <v>0.16579193886736818</v>
      </c>
      <c r="AB257" s="92" t="str">
        <f t="shared" si="230"/>
        <v>0,206286563332572-0,87535784688996i</v>
      </c>
      <c r="AC257" s="37">
        <f t="shared" si="231"/>
        <v>-0.9215590074331198</v>
      </c>
      <c r="AD257" s="60">
        <f t="shared" si="232"/>
        <v>-76.739634464997962</v>
      </c>
      <c r="AE257" t="str">
        <f t="shared" si="233"/>
        <v>21,0353732052265</v>
      </c>
      <c r="AF257" t="str">
        <f t="shared" si="215"/>
        <v>1+8,32863113591486i</v>
      </c>
      <c r="AG257">
        <f t="shared" si="234"/>
        <v>8.3884501904780038</v>
      </c>
      <c r="AH257">
        <f t="shared" si="235"/>
        <v>1.4513006131892792</v>
      </c>
      <c r="AI257" t="str">
        <f t="shared" si="216"/>
        <v>1+0,462701729773048i</v>
      </c>
      <c r="AJ257">
        <f t="shared" si="236"/>
        <v>1.101858834304545</v>
      </c>
      <c r="AK257">
        <f t="shared" si="237"/>
        <v>0.43336633799173724</v>
      </c>
      <c r="AL257" t="str">
        <f t="shared" si="217"/>
        <v>1-0,0314828650290864i</v>
      </c>
      <c r="AM257">
        <f t="shared" si="238"/>
        <v>1.0004954626535993</v>
      </c>
      <c r="AN257">
        <f t="shared" si="239"/>
        <v>-3.1472469578514566E-2</v>
      </c>
      <c r="AO257" s="58" t="str">
        <f t="shared" si="240"/>
        <v>1,37693527931173-2,39713628639196i</v>
      </c>
      <c r="AP257">
        <f t="shared" si="241"/>
        <v>8.8321914585947994</v>
      </c>
      <c r="AQ257" s="60">
        <f t="shared" si="242"/>
        <v>-60.126577468230394</v>
      </c>
      <c r="AR257" t="str">
        <f t="shared" si="218"/>
        <v>-1,05811623246493</v>
      </c>
      <c r="AS257" t="str">
        <f t="shared" si="219"/>
        <v>1+0,456038824864315i</v>
      </c>
      <c r="AT257">
        <f t="shared" si="243"/>
        <v>1.0990775267394131</v>
      </c>
      <c r="AU257">
        <f t="shared" si="244"/>
        <v>0.4278644528411315</v>
      </c>
      <c r="AV257" t="str">
        <f t="shared" si="220"/>
        <v>1+0,456038824864315i</v>
      </c>
      <c r="AW257">
        <f t="shared" si="245"/>
        <v>1.0990775267394131</v>
      </c>
      <c r="AX257">
        <f t="shared" si="246"/>
        <v>0.4278644528411315</v>
      </c>
      <c r="AY257" t="str">
        <f t="shared" si="221"/>
        <v>1-0,0558166192585004i</v>
      </c>
      <c r="AZ257">
        <f t="shared" si="247"/>
        <v>1.0015565360904237</v>
      </c>
      <c r="BA257">
        <f t="shared" si="248"/>
        <v>-5.5758761906825056E-2</v>
      </c>
      <c r="BB257" s="58" t="str">
        <f t="shared" si="249"/>
        <v>-0,853647988998487+0,44835709662939i</v>
      </c>
      <c r="BC257">
        <f t="shared" si="250"/>
        <v>-0.31638962772590729</v>
      </c>
      <c r="BD257" s="60">
        <f t="shared" si="251"/>
        <v>152.29043092039299</v>
      </c>
      <c r="BE257" s="58" t="str">
        <f t="shared" si="252"/>
        <v>0,216376792797077+0,839737510261107i</v>
      </c>
      <c r="BF257" s="37">
        <f t="shared" si="253"/>
        <v>-1.2379486351590254</v>
      </c>
      <c r="BG257" s="60">
        <f t="shared" si="254"/>
        <v>75.550796455395073</v>
      </c>
      <c r="BH257" s="58" t="str">
        <f t="shared" si="255"/>
        <v>-0,100644966573871+2,66366927431258i</v>
      </c>
      <c r="BI257" s="37">
        <f t="shared" si="256"/>
        <v>8.5158018308688774</v>
      </c>
      <c r="BJ257" s="60">
        <f t="shared" si="257"/>
        <v>92.163853452162599</v>
      </c>
      <c r="BK257">
        <f t="shared" si="258"/>
        <v>-1.2379486351590254</v>
      </c>
      <c r="BL257" s="60">
        <f t="shared" si="259"/>
        <v>75.550796455395073</v>
      </c>
      <c r="BN257">
        <f t="shared" si="260"/>
        <v>0</v>
      </c>
      <c r="BO257">
        <f t="shared" si="261"/>
        <v>0</v>
      </c>
    </row>
    <row r="258" spans="13:67" x14ac:dyDescent="0.25">
      <c r="M258" s="66">
        <v>40</v>
      </c>
      <c r="N258" s="36">
        <f t="shared" si="262"/>
        <v>2511.8864315095811</v>
      </c>
      <c r="O258" s="91" t="str">
        <f t="shared" si="210"/>
        <v>13,7404580152672</v>
      </c>
      <c r="P258" s="67" t="str">
        <f t="shared" si="211"/>
        <v>1+17,045259753346i</v>
      </c>
      <c r="Q258" s="67">
        <f t="shared" si="222"/>
        <v>17.074568224673701</v>
      </c>
      <c r="R258" s="67">
        <f t="shared" si="223"/>
        <v>1.5121961592152373</v>
      </c>
      <c r="S258" s="67" t="str">
        <f t="shared" si="212"/>
        <v>1+0,473479437592944i</v>
      </c>
      <c r="T258" s="67">
        <f t="shared" si="224"/>
        <v>1.106427936118449</v>
      </c>
      <c r="U258" s="67">
        <f t="shared" si="225"/>
        <v>0.44220696305579477</v>
      </c>
      <c r="V258" t="str">
        <f t="shared" si="213"/>
        <v>1-0,09864154949853i</v>
      </c>
      <c r="W258" s="67">
        <f t="shared" si="226"/>
        <v>1.0048533003814393</v>
      </c>
      <c r="X258" s="67">
        <f t="shared" si="227"/>
        <v>-9.8323471879062402E-2</v>
      </c>
      <c r="Y258" t="str">
        <f t="shared" si="214"/>
        <v>0,999596187299533+0,171159403140045i</v>
      </c>
      <c r="Z258" s="67">
        <f t="shared" si="228"/>
        <v>1.0141440129227306</v>
      </c>
      <c r="AA258" s="67">
        <f t="shared" si="229"/>
        <v>0.16958395391149286</v>
      </c>
      <c r="AB258" s="92" t="str">
        <f t="shared" si="230"/>
        <v>0,20361664264187-0,858402622142925i</v>
      </c>
      <c r="AC258" s="37">
        <f t="shared" si="231"/>
        <v>-1.0884471180580748</v>
      </c>
      <c r="AD258" s="60">
        <f t="shared" si="232"/>
        <v>-76.655829862544692</v>
      </c>
      <c r="AE258" t="str">
        <f t="shared" si="233"/>
        <v>21,0353732052265</v>
      </c>
      <c r="AF258" t="str">
        <f t="shared" si="215"/>
        <v>1+8,522629876673i</v>
      </c>
      <c r="AG258">
        <f t="shared" si="234"/>
        <v>8.5810966673706233</v>
      </c>
      <c r="AH258">
        <f t="shared" si="235"/>
        <v>1.4539957133640751</v>
      </c>
      <c r="AI258" t="str">
        <f t="shared" si="216"/>
        <v>1+0,473479437592944i</v>
      </c>
      <c r="AJ258">
        <f t="shared" si="236"/>
        <v>1.106427936118449</v>
      </c>
      <c r="AK258">
        <f t="shared" si="237"/>
        <v>0.44220696305579477</v>
      </c>
      <c r="AL258" t="str">
        <f t="shared" si="217"/>
        <v>1-0,0322161951611851i</v>
      </c>
      <c r="AM258">
        <f t="shared" si="238"/>
        <v>1.000518807034962</v>
      </c>
      <c r="AN258">
        <f t="shared" si="239"/>
        <v>-3.220505654714003E-2</v>
      </c>
      <c r="AO258" s="58" t="str">
        <f t="shared" si="240"/>
        <v>1,36435334316471-2,34574157849385i</v>
      </c>
      <c r="AP258">
        <f t="shared" si="241"/>
        <v>8.6711163301064893</v>
      </c>
      <c r="AQ258" s="60">
        <f t="shared" si="242"/>
        <v>-59.816438970611607</v>
      </c>
      <c r="AR258" t="str">
        <f t="shared" si="218"/>
        <v>-1,05811623246493</v>
      </c>
      <c r="AS258" t="str">
        <f t="shared" si="219"/>
        <v>1+0,466661333691606i</v>
      </c>
      <c r="AT258">
        <f t="shared" si="243"/>
        <v>1.1035274352560649</v>
      </c>
      <c r="AU258">
        <f t="shared" si="244"/>
        <v>0.4366227805367498</v>
      </c>
      <c r="AV258" t="str">
        <f t="shared" si="220"/>
        <v>1+0,466661333691606i</v>
      </c>
      <c r="AW258">
        <f t="shared" si="245"/>
        <v>1.1035274352560649</v>
      </c>
      <c r="AX258">
        <f t="shared" si="246"/>
        <v>0.4366227805367498</v>
      </c>
      <c r="AY258" t="str">
        <f t="shared" si="221"/>
        <v>1-0,0545460778873253i</v>
      </c>
      <c r="AZ258">
        <f t="shared" si="247"/>
        <v>1.0014865324171316</v>
      </c>
      <c r="BA258">
        <f t="shared" si="248"/>
        <v>-5.449207773351139E-2</v>
      </c>
      <c r="BB258" s="58" t="str">
        <f t="shared" si="249"/>
        <v>-0,846777300677289+0,452874314903717i</v>
      </c>
      <c r="BC258">
        <f t="shared" si="250"/>
        <v>-0.35209288888411877</v>
      </c>
      <c r="BD258" s="60">
        <f t="shared" si="251"/>
        <v>151.86119136494844</v>
      </c>
      <c r="BE258" s="58" t="str">
        <f t="shared" si="252"/>
        <v>0,216330548385277+0,819088602811925i</v>
      </c>
      <c r="BF258" s="37">
        <f t="shared" si="253"/>
        <v>-1.4405400069421894</v>
      </c>
      <c r="BG258" s="60">
        <f t="shared" si="254"/>
        <v>75.205361502403733</v>
      </c>
      <c r="BH258" s="58" t="str">
        <f t="shared" si="255"/>
        <v>-0,092977330793482+2,60420130749582i</v>
      </c>
      <c r="BI258" s="37">
        <f t="shared" si="256"/>
        <v>8.3190234412223738</v>
      </c>
      <c r="BJ258" s="60">
        <f t="shared" si="257"/>
        <v>92.044752394336825</v>
      </c>
      <c r="BK258">
        <f t="shared" si="258"/>
        <v>-1.4405400069421894</v>
      </c>
      <c r="BL258" s="60">
        <f t="shared" si="259"/>
        <v>75.205361502403733</v>
      </c>
      <c r="BN258">
        <f t="shared" si="260"/>
        <v>0</v>
      </c>
      <c r="BO258">
        <f t="shared" si="261"/>
        <v>0</v>
      </c>
    </row>
    <row r="259" spans="13:67" x14ac:dyDescent="0.25">
      <c r="M259" s="66">
        <v>41</v>
      </c>
      <c r="N259" s="36">
        <f t="shared" si="262"/>
        <v>2570.3957827688669</v>
      </c>
      <c r="O259" s="91" t="str">
        <f t="shared" si="210"/>
        <v>13,7404580152672</v>
      </c>
      <c r="P259" s="67" t="str">
        <f t="shared" si="211"/>
        <v>1+17,4422948572041i</v>
      </c>
      <c r="Q259" s="67">
        <f t="shared" si="222"/>
        <v>17.470937292705525</v>
      </c>
      <c r="R259" s="67">
        <f t="shared" si="223"/>
        <v>1.5135271133803909</v>
      </c>
      <c r="S259" s="67" t="str">
        <f t="shared" si="212"/>
        <v>1+0,484508190477892i</v>
      </c>
      <c r="T259" s="67">
        <f t="shared" si="224"/>
        <v>1.1111922365820242</v>
      </c>
      <c r="U259" s="67">
        <f t="shared" si="225"/>
        <v>0.45117753016087653</v>
      </c>
      <c r="V259" t="str">
        <f t="shared" si="213"/>
        <v>1-0,100939206349561i</v>
      </c>
      <c r="W259" s="67">
        <f t="shared" si="226"/>
        <v>1.0050814511165149</v>
      </c>
      <c r="X259" s="67">
        <f t="shared" si="227"/>
        <v>-0.10059847303527725</v>
      </c>
      <c r="Y259" t="str">
        <f t="shared" si="214"/>
        <v>0,999577156193275+0,175146217796164i</v>
      </c>
      <c r="Z259" s="67">
        <f t="shared" si="228"/>
        <v>1.0148057394357486</v>
      </c>
      <c r="AA259" s="67">
        <f t="shared" si="229"/>
        <v>0.17345942060546721</v>
      </c>
      <c r="AB259" s="92" t="str">
        <f t="shared" si="230"/>
        <v>0,201022945453668-0,84188354798441i</v>
      </c>
      <c r="AC259" s="37">
        <f t="shared" si="231"/>
        <v>-1.2541490731245961</v>
      </c>
      <c r="AD259" s="60">
        <f t="shared" si="232"/>
        <v>-76.57050813382007</v>
      </c>
      <c r="AE259" t="str">
        <f t="shared" si="233"/>
        <v>21,0353732052265</v>
      </c>
      <c r="AF259" t="str">
        <f t="shared" si="215"/>
        <v>1+8,72114742860205i</v>
      </c>
      <c r="AG259">
        <f t="shared" si="234"/>
        <v>8.7782921158624099</v>
      </c>
      <c r="AH259">
        <f t="shared" si="235"/>
        <v>1.4566311136606303</v>
      </c>
      <c r="AI259" t="str">
        <f t="shared" si="216"/>
        <v>1+0,484508190477892i</v>
      </c>
      <c r="AJ259">
        <f t="shared" si="236"/>
        <v>1.1111922365820242</v>
      </c>
      <c r="AK259">
        <f t="shared" si="237"/>
        <v>0.45117753016087653</v>
      </c>
      <c r="AL259" t="str">
        <f t="shared" si="217"/>
        <v>1-0,0329666067463898i</v>
      </c>
      <c r="AM259">
        <f t="shared" si="238"/>
        <v>1.0005432510193506</v>
      </c>
      <c r="AN259">
        <f t="shared" si="239"/>
        <v>-3.2954671856373442E-2</v>
      </c>
      <c r="AO259" s="58" t="str">
        <f t="shared" si="240"/>
        <v>1,35232264365967-2,29545941492164i</v>
      </c>
      <c r="AP259">
        <f t="shared" si="241"/>
        <v>8.5113051631401362</v>
      </c>
      <c r="AQ259" s="60">
        <f t="shared" si="242"/>
        <v>-59.496410443449022</v>
      </c>
      <c r="AR259" t="str">
        <f t="shared" si="218"/>
        <v>-1,05811623246493</v>
      </c>
      <c r="AS259" t="str">
        <f t="shared" si="219"/>
        <v>1+0,47753127253501i</v>
      </c>
      <c r="AT259">
        <f t="shared" si="243"/>
        <v>1.1081679097722086</v>
      </c>
      <c r="AU259">
        <f t="shared" si="244"/>
        <v>0.44551160060592815</v>
      </c>
      <c r="AV259" t="str">
        <f t="shared" si="220"/>
        <v>1+0,47753127253501i</v>
      </c>
      <c r="AW259">
        <f t="shared" si="245"/>
        <v>1.1081679097722086</v>
      </c>
      <c r="AX259">
        <f t="shared" si="246"/>
        <v>0.44551160060592815</v>
      </c>
      <c r="AY259" t="str">
        <f t="shared" si="221"/>
        <v>1-0,0533044575686491i</v>
      </c>
      <c r="AZ259">
        <f t="shared" si="247"/>
        <v>1.00141967485999</v>
      </c>
      <c r="BA259">
        <f t="shared" si="248"/>
        <v>-5.3254057653339279E-2</v>
      </c>
      <c r="BB259" s="58" t="str">
        <f t="shared" si="249"/>
        <v>-0,839700356598024+0,457385491650482i</v>
      </c>
      <c r="BC259">
        <f t="shared" si="250"/>
        <v>-0.38912146236398504</v>
      </c>
      <c r="BD259" s="60">
        <f t="shared" si="251"/>
        <v>151.42283281567964</v>
      </c>
      <c r="BE259" s="58" t="str">
        <f t="shared" si="252"/>
        <v>0,216266281525471+0,798874894195873i</v>
      </c>
      <c r="BF259" s="37">
        <f t="shared" si="253"/>
        <v>-1.6432705354885777</v>
      </c>
      <c r="BG259" s="60">
        <f t="shared" si="254"/>
        <v>74.852324681859614</v>
      </c>
      <c r="BH259" s="58" t="str">
        <f t="shared" si="255"/>
        <v>-0,0856359730589455+2,54603084650635i</v>
      </c>
      <c r="BI259" s="37">
        <f t="shared" si="256"/>
        <v>8.1221837007761515</v>
      </c>
      <c r="BJ259" s="60">
        <f t="shared" si="257"/>
        <v>91.926422372230618</v>
      </c>
      <c r="BK259">
        <f t="shared" si="258"/>
        <v>-1.6432705354885777</v>
      </c>
      <c r="BL259" s="60">
        <f t="shared" si="259"/>
        <v>74.852324681859614</v>
      </c>
      <c r="BN259">
        <f t="shared" si="260"/>
        <v>0</v>
      </c>
      <c r="BO259">
        <f t="shared" si="261"/>
        <v>0</v>
      </c>
    </row>
    <row r="260" spans="13:67" x14ac:dyDescent="0.25">
      <c r="M260" s="66">
        <v>42</v>
      </c>
      <c r="N260" s="36">
        <f t="shared" si="262"/>
        <v>2630.2679918953822</v>
      </c>
      <c r="O260" s="91" t="str">
        <f t="shared" si="210"/>
        <v>13,7404580152672</v>
      </c>
      <c r="P260" s="67" t="str">
        <f t="shared" si="211"/>
        <v>1+17,8485780966715i</v>
      </c>
      <c r="Q260" s="67">
        <f t="shared" si="222"/>
        <v>17.876569583479423</v>
      </c>
      <c r="R260" s="67">
        <f t="shared" si="223"/>
        <v>1.5148279676312493</v>
      </c>
      <c r="S260" s="67" t="str">
        <f t="shared" si="212"/>
        <v>1+0,495793836018655i</v>
      </c>
      <c r="T260" s="67">
        <f t="shared" si="224"/>
        <v>1.1161592752981506</v>
      </c>
      <c r="U260" s="67">
        <f t="shared" si="225"/>
        <v>0.46027701965799533</v>
      </c>
      <c r="V260" t="str">
        <f t="shared" si="213"/>
        <v>1-0,103290382503886i</v>
      </c>
      <c r="W260" s="67">
        <f t="shared" si="226"/>
        <v>1.0053202987694017</v>
      </c>
      <c r="X260" s="67">
        <f t="shared" si="227"/>
        <v>-0.1029253844531023</v>
      </c>
      <c r="Y260" t="str">
        <f t="shared" si="214"/>
        <v>0,999557228178612+0,179225897295293i</v>
      </c>
      <c r="Z260" s="67">
        <f t="shared" si="228"/>
        <v>1.0154981903801763</v>
      </c>
      <c r="AA260" s="67">
        <f t="shared" si="229"/>
        <v>0.17741994769773334</v>
      </c>
      <c r="AB260" s="92" t="str">
        <f t="shared" si="230"/>
        <v>0,198500236206309-0,825792125690533i</v>
      </c>
      <c r="AC260" s="37">
        <f t="shared" si="231"/>
        <v>-1.4186300770161879</v>
      </c>
      <c r="AD260" s="60">
        <f t="shared" si="232"/>
        <v>-76.483922938823596</v>
      </c>
      <c r="AE260" t="str">
        <f t="shared" si="233"/>
        <v>21,0353732052265</v>
      </c>
      <c r="AF260" t="str">
        <f t="shared" si="215"/>
        <v>1+8,92428904833578i</v>
      </c>
      <c r="AG260">
        <f t="shared" si="234"/>
        <v>8.9801411468999728</v>
      </c>
      <c r="AH260">
        <f t="shared" si="235"/>
        <v>1.4592080648941339</v>
      </c>
      <c r="AI260" t="str">
        <f t="shared" si="216"/>
        <v>1+0,495793836018655i</v>
      </c>
      <c r="AJ260">
        <f t="shared" si="236"/>
        <v>1.1161592752981506</v>
      </c>
      <c r="AK260">
        <f t="shared" si="237"/>
        <v>0.46027701965799533</v>
      </c>
      <c r="AL260" t="str">
        <f t="shared" si="217"/>
        <v>1-0,033734497662856i</v>
      </c>
      <c r="AM260">
        <f t="shared" si="238"/>
        <v>1.0005688463731843</v>
      </c>
      <c r="AN260">
        <f t="shared" si="239"/>
        <v>-3.3721709590438437E-2</v>
      </c>
      <c r="AO260" s="58" t="str">
        <f t="shared" si="240"/>
        <v>1,34081966954335-2,24627166742463i</v>
      </c>
      <c r="AP260">
        <f t="shared" si="241"/>
        <v>8.3528041593633944</v>
      </c>
      <c r="AQ260" s="60">
        <f t="shared" si="242"/>
        <v>-59.166644554120595</v>
      </c>
      <c r="AR260" t="str">
        <f t="shared" si="218"/>
        <v>-1,05811623246493</v>
      </c>
      <c r="AS260" t="str">
        <f t="shared" si="219"/>
        <v>1+0,488654404779986i</v>
      </c>
      <c r="AT260">
        <f t="shared" si="243"/>
        <v>1.1130063464827513</v>
      </c>
      <c r="AU260">
        <f t="shared" si="244"/>
        <v>0.45453000648638547</v>
      </c>
      <c r="AV260" t="str">
        <f t="shared" si="220"/>
        <v>1+0,488654404779986i</v>
      </c>
      <c r="AW260">
        <f t="shared" si="245"/>
        <v>1.1130063464827513</v>
      </c>
      <c r="AX260">
        <f t="shared" si="246"/>
        <v>0.45453000648638547</v>
      </c>
      <c r="AY260" t="str">
        <f t="shared" si="221"/>
        <v>1-0,0520910999789437i</v>
      </c>
      <c r="AZ260">
        <f t="shared" si="247"/>
        <v>1.0013558222215599</v>
      </c>
      <c r="BA260">
        <f t="shared" si="248"/>
        <v>-5.2044060440324093E-2</v>
      </c>
      <c r="BB260" s="58" t="str">
        <f t="shared" si="249"/>
        <v>-0,832415571374404+0,461881974014225i</v>
      </c>
      <c r="BC260">
        <f t="shared" si="250"/>
        <v>-0.42751673055170014</v>
      </c>
      <c r="BD260" s="60">
        <f t="shared" si="251"/>
        <v>150.97544395432186</v>
      </c>
      <c r="BE260" s="58" t="str">
        <f t="shared" si="252"/>
        <v>0,216183809599717+0,779085905084429i</v>
      </c>
      <c r="BF260" s="37">
        <f t="shared" si="253"/>
        <v>-1.8461468075678844</v>
      </c>
      <c r="BG260" s="60">
        <f t="shared" si="254"/>
        <v>74.491521015498307</v>
      </c>
      <c r="BH260" s="58" t="str">
        <f t="shared" si="255"/>
        <v>-0,0786067794106546+2,48913194926719i</v>
      </c>
      <c r="BI260" s="37">
        <f t="shared" si="256"/>
        <v>7.9252874288116892</v>
      </c>
      <c r="BJ260" s="60">
        <f t="shared" si="257"/>
        <v>91.808799400201252</v>
      </c>
      <c r="BK260">
        <f t="shared" si="258"/>
        <v>-1.8461468075678844</v>
      </c>
      <c r="BL260" s="60">
        <f t="shared" si="259"/>
        <v>74.491521015498307</v>
      </c>
      <c r="BN260">
        <f t="shared" si="260"/>
        <v>0</v>
      </c>
      <c r="BO260">
        <f t="shared" si="261"/>
        <v>0</v>
      </c>
    </row>
    <row r="261" spans="13:67" x14ac:dyDescent="0.25">
      <c r="M261" s="66">
        <v>43</v>
      </c>
      <c r="N261" s="36">
        <f t="shared" si="262"/>
        <v>2691.5348039269184</v>
      </c>
      <c r="O261" s="91" t="str">
        <f t="shared" si="210"/>
        <v>13,7404580152672</v>
      </c>
      <c r="P261" s="67" t="str">
        <f t="shared" si="211"/>
        <v>1+18,2643248884998i</v>
      </c>
      <c r="Q261" s="67">
        <f t="shared" si="222"/>
        <v>18.291680175223743</v>
      </c>
      <c r="R261" s="67">
        <f t="shared" si="223"/>
        <v>1.5160993940773162</v>
      </c>
      <c r="S261" s="67" t="str">
        <f t="shared" si="212"/>
        <v>1+0,507342358013883i</v>
      </c>
      <c r="T261" s="67">
        <f t="shared" si="224"/>
        <v>1.1213368219384785</v>
      </c>
      <c r="U261" s="67">
        <f t="shared" si="225"/>
        <v>0.46950422769720396</v>
      </c>
      <c r="V261" t="str">
        <f t="shared" si="213"/>
        <v>1-0,105696324586226i</v>
      </c>
      <c r="W261" s="67">
        <f t="shared" si="226"/>
        <v>1.0055703421596307</v>
      </c>
      <c r="X261" s="67">
        <f t="shared" si="227"/>
        <v>-0.1053053390437928</v>
      </c>
      <c r="Y261" t="str">
        <f t="shared" si="214"/>
        <v>0,999536360985552+0,183400604737504i</v>
      </c>
      <c r="Z261" s="67">
        <f t="shared" si="228"/>
        <v>1.0162227702380624</v>
      </c>
      <c r="AA261" s="67">
        <f t="shared" si="229"/>
        <v>0.18146715904449096</v>
      </c>
      <c r="AB261" s="92" t="str">
        <f t="shared" si="230"/>
        <v>0,196043438196027-0,810120000510692i</v>
      </c>
      <c r="AC261" s="37">
        <f t="shared" si="231"/>
        <v>-1.5818554418362991</v>
      </c>
      <c r="AD261" s="60">
        <f t="shared" si="232"/>
        <v>-76.396339713254847</v>
      </c>
      <c r="AE261" t="str">
        <f t="shared" si="233"/>
        <v>21,0353732052265</v>
      </c>
      <c r="AF261" t="str">
        <f t="shared" si="215"/>
        <v>1+9,1321624442499i</v>
      </c>
      <c r="AG261">
        <f t="shared" si="234"/>
        <v>9.1867508352065546</v>
      </c>
      <c r="AH261">
        <f t="shared" si="235"/>
        <v>1.4617277964225199</v>
      </c>
      <c r="AI261" t="str">
        <f t="shared" si="216"/>
        <v>1+0,507342358013883i</v>
      </c>
      <c r="AJ261">
        <f t="shared" si="236"/>
        <v>1.1213368219384785</v>
      </c>
      <c r="AK261">
        <f t="shared" si="237"/>
        <v>0.46950422769720396</v>
      </c>
      <c r="AL261" t="str">
        <f t="shared" si="217"/>
        <v>1-0,0345202750565121i</v>
      </c>
      <c r="AM261">
        <f t="shared" si="238"/>
        <v>1.0005956472971373</v>
      </c>
      <c r="AN261">
        <f t="shared" si="239"/>
        <v>-3.4506572830557219E-2</v>
      </c>
      <c r="AO261" s="58" t="str">
        <f t="shared" si="240"/>
        <v>1,32982185669069-2,19816024253253i</v>
      </c>
      <c r="AP261">
        <f t="shared" si="241"/>
        <v>8.1956595387074032</v>
      </c>
      <c r="AQ261" s="60">
        <f t="shared" si="242"/>
        <v>-58.827303810021149</v>
      </c>
      <c r="AR261" t="str">
        <f t="shared" si="218"/>
        <v>-1,05811623246493</v>
      </c>
      <c r="AS261" t="str">
        <f t="shared" si="219"/>
        <v>1+0,500036628058483i</v>
      </c>
      <c r="AT261">
        <f t="shared" si="243"/>
        <v>1.1180503697956088</v>
      </c>
      <c r="AU261">
        <f t="shared" si="244"/>
        <v>0.46367691101827374</v>
      </c>
      <c r="AV261" t="str">
        <f t="shared" si="220"/>
        <v>1+0,500036628058483i</v>
      </c>
      <c r="AW261">
        <f t="shared" si="245"/>
        <v>1.1180503697956088</v>
      </c>
      <c r="AX261">
        <f t="shared" si="246"/>
        <v>0.46367691101827374</v>
      </c>
      <c r="AY261" t="str">
        <f t="shared" si="221"/>
        <v>1-0,0509053617799541i</v>
      </c>
      <c r="AZ261">
        <f t="shared" si="247"/>
        <v>1.0012948396241479</v>
      </c>
      <c r="BA261">
        <f t="shared" si="248"/>
        <v>-5.0861458718355339E-2</v>
      </c>
      <c r="BB261" s="58" t="str">
        <f t="shared" si="249"/>
        <v>-0,824921718673421+0,466354864236535i</v>
      </c>
      <c r="BC261">
        <f t="shared" si="250"/>
        <v>-0.46732029464766478</v>
      </c>
      <c r="BD261" s="60">
        <f t="shared" si="251"/>
        <v>150.51912301654929</v>
      </c>
      <c r="BE261" s="58" t="str">
        <f t="shared" si="252"/>
        <v>0,216082912882152+0,759711394157365i</v>
      </c>
      <c r="BF261" s="37">
        <f t="shared" si="253"/>
        <v>-2.0491757364839591</v>
      </c>
      <c r="BG261" s="60">
        <f t="shared" si="254"/>
        <v>74.122783303294455</v>
      </c>
      <c r="BH261" s="58" t="str">
        <f t="shared" si="255"/>
        <v>-0,0718762100743568+2,43347901662528i</v>
      </c>
      <c r="BI261" s="37">
        <f t="shared" si="256"/>
        <v>7.7283392440597307</v>
      </c>
      <c r="BJ261" s="60">
        <f t="shared" si="257"/>
        <v>91.691819206528137</v>
      </c>
      <c r="BK261">
        <f t="shared" si="258"/>
        <v>-2.0491757364839591</v>
      </c>
      <c r="BL261" s="60">
        <f t="shared" si="259"/>
        <v>74.122783303294455</v>
      </c>
      <c r="BN261">
        <f t="shared" si="260"/>
        <v>0</v>
      </c>
      <c r="BO261">
        <f t="shared" si="261"/>
        <v>0</v>
      </c>
    </row>
    <row r="262" spans="13:67" x14ac:dyDescent="0.25">
      <c r="M262" s="66">
        <v>44</v>
      </c>
      <c r="N262" s="36">
        <f t="shared" si="262"/>
        <v>2754.228703338169</v>
      </c>
      <c r="O262" s="91" t="str">
        <f t="shared" si="210"/>
        <v>13,7404580152672</v>
      </c>
      <c r="P262" s="67" t="str">
        <f t="shared" si="211"/>
        <v>1+18,6897556671408i</v>
      </c>
      <c r="Q262" s="67">
        <f t="shared" si="222"/>
        <v>18.716489171247417</v>
      </c>
      <c r="R262" s="67">
        <f t="shared" si="223"/>
        <v>1.5173420503940658</v>
      </c>
      <c r="S262" s="67" t="str">
        <f t="shared" si="212"/>
        <v>1+0,519159879642802i</v>
      </c>
      <c r="T262" s="67">
        <f t="shared" si="224"/>
        <v>1.1267328790049258</v>
      </c>
      <c r="U262" s="67">
        <f t="shared" si="225"/>
        <v>0.47885776079543368</v>
      </c>
      <c r="V262" t="str">
        <f t="shared" si="213"/>
        <v>1-0,108158308258917i</v>
      </c>
      <c r="W262" s="67">
        <f t="shared" si="226"/>
        <v>1.0058321031093762</v>
      </c>
      <c r="X262" s="67">
        <f t="shared" si="227"/>
        <v>-0.1077394907878701</v>
      </c>
      <c r="Y262" t="str">
        <f t="shared" si="214"/>
        <v>0,999514510351981+0,18767255360794i</v>
      </c>
      <c r="Z262" s="67">
        <f t="shared" si="228"/>
        <v>1.0169809456336365</v>
      </c>
      <c r="AA262" s="67">
        <f t="shared" si="229"/>
        <v>0.18560269254709569</v>
      </c>
      <c r="AB262" s="92" t="str">
        <f t="shared" si="230"/>
        <v>0,193647624889876-0,794858958641017i</v>
      </c>
      <c r="AC262" s="37">
        <f t="shared" si="231"/>
        <v>-1.7437906679121438</v>
      </c>
      <c r="AD262" s="60">
        <f t="shared" si="232"/>
        <v>-76.308035942889504</v>
      </c>
      <c r="AE262" t="str">
        <f t="shared" si="233"/>
        <v>21,0353732052265</v>
      </c>
      <c r="AF262" t="str">
        <f t="shared" si="215"/>
        <v>1+9,34487783357043i</v>
      </c>
      <c r="AG262">
        <f t="shared" si="234"/>
        <v>9.3982307762874164</v>
      </c>
      <c r="AH262">
        <f t="shared" si="235"/>
        <v>1.4641915161881858</v>
      </c>
      <c r="AI262" t="str">
        <f t="shared" si="216"/>
        <v>1+0,519159879642802i</v>
      </c>
      <c r="AJ262">
        <f t="shared" si="236"/>
        <v>1.1267328790049258</v>
      </c>
      <c r="AK262">
        <f t="shared" si="237"/>
        <v>0.47885776079543368</v>
      </c>
      <c r="AL262" t="str">
        <f t="shared" si="217"/>
        <v>1-0,035324355556933i</v>
      </c>
      <c r="AM262">
        <f t="shared" si="238"/>
        <v>1.0006237105403373</v>
      </c>
      <c r="AN262">
        <f t="shared" si="239"/>
        <v>-3.5309673851527459E-2</v>
      </c>
      <c r="AO262" s="58" t="str">
        <f t="shared" si="240"/>
        <v>1,31930755484429-2,15110710583379i</v>
      </c>
      <c r="AP262">
        <f t="shared" si="241"/>
        <v>8.0399174744717818</v>
      </c>
      <c r="AQ262" s="60">
        <f t="shared" si="242"/>
        <v>-58.478560883456424</v>
      </c>
      <c r="AR262" t="str">
        <f t="shared" si="218"/>
        <v>-1,05811623246493</v>
      </c>
      <c r="AS262" t="str">
        <f t="shared" si="219"/>
        <v>1+0,511683977375945i</v>
      </c>
      <c r="AT262">
        <f t="shared" si="243"/>
        <v>1.1233078352363017</v>
      </c>
      <c r="AU262">
        <f t="shared" si="244"/>
        <v>0.47295104078722988</v>
      </c>
      <c r="AV262" t="str">
        <f t="shared" si="220"/>
        <v>1+0,511683977375945i</v>
      </c>
      <c r="AW262">
        <f t="shared" si="245"/>
        <v>1.1233078352363017</v>
      </c>
      <c r="AX262">
        <f t="shared" si="246"/>
        <v>0.47295104078722988</v>
      </c>
      <c r="AY262" t="str">
        <f t="shared" si="221"/>
        <v>1-0,0497466142775924i</v>
      </c>
      <c r="AZ262">
        <f t="shared" si="247"/>
        <v>1.0012365982284526</v>
      </c>
      <c r="BA262">
        <f t="shared" si="248"/>
        <v>-4.9705638695246759E-2</v>
      </c>
      <c r="BB262" s="58" t="str">
        <f t="shared" si="249"/>
        <v>-0,817217956668544+0,470795034528495i</v>
      </c>
      <c r="BC262">
        <f t="shared" si="250"/>
        <v>-0.50857390494405808</v>
      </c>
      <c r="BD262" s="60">
        <f t="shared" si="251"/>
        <v>150.05397813133231</v>
      </c>
      <c r="BE262" s="58" t="str">
        <f t="shared" si="252"/>
        <v>0,21596333455246+0,740741354266689i</v>
      </c>
      <c r="BF262" s="37">
        <f t="shared" si="253"/>
        <v>-2.2523645728562012</v>
      </c>
      <c r="BG262" s="60">
        <f t="shared" si="254"/>
        <v>73.745942188442811</v>
      </c>
      <c r="BH262" s="58" t="str">
        <f t="shared" si="255"/>
        <v>-0,0654312800217136+2,3790467994413i</v>
      </c>
      <c r="BI262" s="37">
        <f t="shared" si="256"/>
        <v>7.5313435695277366</v>
      </c>
      <c r="BJ262" s="60">
        <f t="shared" si="257"/>
        <v>91.575417247875876</v>
      </c>
      <c r="BK262">
        <f t="shared" si="258"/>
        <v>-2.2523645728562012</v>
      </c>
      <c r="BL262" s="60">
        <f t="shared" si="259"/>
        <v>73.745942188442811</v>
      </c>
      <c r="BN262">
        <f t="shared" si="260"/>
        <v>0</v>
      </c>
      <c r="BO262">
        <f t="shared" si="261"/>
        <v>0</v>
      </c>
    </row>
    <row r="263" spans="13:67" x14ac:dyDescent="0.25">
      <c r="M263" s="66">
        <v>45</v>
      </c>
      <c r="N263" s="36">
        <f t="shared" si="262"/>
        <v>2818.3829312644561</v>
      </c>
      <c r="O263" s="91" t="str">
        <f t="shared" si="210"/>
        <v>13,7404580152672</v>
      </c>
      <c r="P263" s="67" t="str">
        <f t="shared" si="211"/>
        <v>1+19,1250960016247i</v>
      </c>
      <c r="Q263" s="67">
        <f t="shared" si="222"/>
        <v>19.151221816671676</v>
      </c>
      <c r="R263" s="67">
        <f t="shared" si="223"/>
        <v>1.5185565800943985</v>
      </c>
      <c r="S263" s="67" t="str">
        <f t="shared" si="212"/>
        <v>1+0,531252666711799i</v>
      </c>
      <c r="T263" s="67">
        <f t="shared" si="224"/>
        <v>1.1323556843538156</v>
      </c>
      <c r="U263" s="67">
        <f t="shared" si="225"/>
        <v>0.48833603080497001</v>
      </c>
      <c r="V263" t="str">
        <f t="shared" si="213"/>
        <v>1-0,110677638898291i</v>
      </c>
      <c r="W263" s="67">
        <f t="shared" si="226"/>
        <v>1.0061061274796514</v>
      </c>
      <c r="X263" s="67">
        <f t="shared" si="227"/>
        <v>-0.11022901486130708</v>
      </c>
      <c r="Y263" t="str">
        <f t="shared" si="214"/>
        <v>0,999491629929776+0,19204400895044i</v>
      </c>
      <c r="Z263" s="67">
        <f t="shared" si="228"/>
        <v>1.0177742478926439</v>
      </c>
      <c r="AA263" s="67">
        <f t="shared" si="229"/>
        <v>0.18982819898441122</v>
      </c>
      <c r="AB263" s="92" t="str">
        <f t="shared" si="230"/>
        <v>0,1913080116138-0,780000923967224i</v>
      </c>
      <c r="AC263" s="37">
        <f t="shared" si="231"/>
        <v>-1.9044015292355363</v>
      </c>
      <c r="AD263" s="60">
        <f t="shared" si="232"/>
        <v>-76.219301407747693</v>
      </c>
      <c r="AE263" t="str">
        <f t="shared" si="233"/>
        <v>21,0353732052265</v>
      </c>
      <c r="AF263" t="str">
        <f t="shared" si="215"/>
        <v>1+9,56254800081237i</v>
      </c>
      <c r="AG263">
        <f t="shared" si="234"/>
        <v>9.6146931447571777</v>
      </c>
      <c r="AH263">
        <f t="shared" si="235"/>
        <v>1.4666004107863069</v>
      </c>
      <c r="AI263" t="str">
        <f t="shared" si="216"/>
        <v>1+0,531252666711799i</v>
      </c>
      <c r="AJ263">
        <f t="shared" si="236"/>
        <v>1.1323556843538156</v>
      </c>
      <c r="AK263">
        <f t="shared" si="237"/>
        <v>0.48833603080497001</v>
      </c>
      <c r="AL263" t="str">
        <f t="shared" si="217"/>
        <v>1-0,0361471654982433i</v>
      </c>
      <c r="AM263">
        <f t="shared" si="238"/>
        <v>1.0006530955198996</v>
      </c>
      <c r="AN263">
        <f t="shared" si="239"/>
        <v>-3.6131434321956972E-2</v>
      </c>
      <c r="AO263" s="58" t="str">
        <f t="shared" si="240"/>
        <v>1,30925599507729-2,10509430429007i</v>
      </c>
      <c r="AP263">
        <f t="shared" si="241"/>
        <v>7.8856240232921984</v>
      </c>
      <c r="AQ263" s="60">
        <f t="shared" si="242"/>
        <v>-58.120598915315071</v>
      </c>
      <c r="AR263" t="str">
        <f t="shared" si="218"/>
        <v>-1,05811623246493</v>
      </c>
      <c r="AS263" t="str">
        <f t="shared" si="219"/>
        <v>1+0,523602628311148i</v>
      </c>
      <c r="AT263">
        <f t="shared" si="243"/>
        <v>1.1287868321230285</v>
      </c>
      <c r="AU263">
        <f t="shared" si="244"/>
        <v>0.48235093083416569</v>
      </c>
      <c r="AV263" t="str">
        <f t="shared" si="220"/>
        <v>1+0,523602628311148i</v>
      </c>
      <c r="AW263">
        <f t="shared" si="245"/>
        <v>1.1287868321230285</v>
      </c>
      <c r="AX263">
        <f t="shared" si="246"/>
        <v>0.48235093083416569</v>
      </c>
      <c r="AY263" t="str">
        <f t="shared" si="221"/>
        <v>1-0,0486142430885951i</v>
      </c>
      <c r="AZ263">
        <f t="shared" si="247"/>
        <v>1.001180974964605</v>
      </c>
      <c r="BA263">
        <f t="shared" si="248"/>
        <v>-4.8575999899601131E-2</v>
      </c>
      <c r="BB263" s="58" t="str">
        <f t="shared" si="249"/>
        <v>-0,809303853131484+0,475193144343023i</v>
      </c>
      <c r="BC263">
        <f t="shared" si="250"/>
        <v>-0.551319386094412</v>
      </c>
      <c r="BD263" s="60">
        <f t="shared" si="251"/>
        <v>149.58012763912055</v>
      </c>
      <c r="BE263" s="58" t="str">
        <f t="shared" si="252"/>
        <v>0,215824780716477+0,722166008789565i</v>
      </c>
      <c r="BF263" s="37">
        <f t="shared" si="253"/>
        <v>-2.4557209153299513</v>
      </c>
      <c r="BG263" s="60">
        <f t="shared" si="254"/>
        <v>73.360826231372883</v>
      </c>
      <c r="BH263" s="58" t="str">
        <f t="shared" si="255"/>
        <v>-0,0592595399573592+2,32581040471783i</v>
      </c>
      <c r="BI263" s="37">
        <f t="shared" si="256"/>
        <v>7.3343046371978033</v>
      </c>
      <c r="BJ263" s="60">
        <f t="shared" si="257"/>
        <v>91.459528723805477</v>
      </c>
      <c r="BK263">
        <f t="shared" si="258"/>
        <v>-2.4557209153299513</v>
      </c>
      <c r="BL263" s="60">
        <f t="shared" si="259"/>
        <v>73.360826231372883</v>
      </c>
      <c r="BN263">
        <f t="shared" si="260"/>
        <v>0</v>
      </c>
      <c r="BO263">
        <f t="shared" si="261"/>
        <v>0</v>
      </c>
    </row>
    <row r="264" spans="13:67" x14ac:dyDescent="0.25">
      <c r="M264" s="66">
        <v>46</v>
      </c>
      <c r="N264" s="36">
        <f t="shared" si="262"/>
        <v>2884.0315031266077</v>
      </c>
      <c r="O264" s="91" t="str">
        <f t="shared" si="210"/>
        <v>13,7404580152672</v>
      </c>
      <c r="P264" s="67" t="str">
        <f t="shared" si="211"/>
        <v>1+19,5705767151593i</v>
      </c>
      <c r="Q264" s="67">
        <f t="shared" si="222"/>
        <v>19.59610861788471</v>
      </c>
      <c r="R264" s="67">
        <f t="shared" si="223"/>
        <v>1.5197436127976587</v>
      </c>
      <c r="S264" s="67" t="str">
        <f t="shared" si="212"/>
        <v>1+0,543627130976647i</v>
      </c>
      <c r="T264" s="67">
        <f t="shared" si="224"/>
        <v>1.1382137134712007</v>
      </c>
      <c r="U264" s="67">
        <f t="shared" si="225"/>
        <v>0.49793725033725411</v>
      </c>
      <c r="V264" t="str">
        <f t="shared" si="213"/>
        <v>1-0,113255652286801i</v>
      </c>
      <c r="W264" s="67">
        <f t="shared" si="226"/>
        <v>1.0063929862508525</v>
      </c>
      <c r="X264" s="67">
        <f t="shared" si="227"/>
        <v>-0.11277510774044909</v>
      </c>
      <c r="Y264" t="str">
        <f t="shared" si="214"/>
        <v>0,999467671186494+0,196517288568487i</v>
      </c>
      <c r="Z264" s="67">
        <f t="shared" si="228"/>
        <v>1.0186042756896634</v>
      </c>
      <c r="AA264" s="67">
        <f t="shared" si="229"/>
        <v>0.19414534073416773</v>
      </c>
      <c r="AB264" s="92" t="str">
        <f t="shared" si="230"/>
        <v>0,189019947611885-0,76553795458692i</v>
      </c>
      <c r="AC264" s="37">
        <f t="shared" si="231"/>
        <v>-2.0636541636827719</v>
      </c>
      <c r="AD264" s="60">
        <f t="shared" si="232"/>
        <v>-76.130438392453939</v>
      </c>
      <c r="AE264" t="str">
        <f t="shared" si="233"/>
        <v>21,0353732052265</v>
      </c>
      <c r="AF264" t="str">
        <f t="shared" si="215"/>
        <v>1+9,78528835757964i</v>
      </c>
      <c r="AG264">
        <f t="shared" si="234"/>
        <v>9.8362527540208973</v>
      </c>
      <c r="AH264">
        <f t="shared" si="235"/>
        <v>1.4689556455575361</v>
      </c>
      <c r="AI264" t="str">
        <f t="shared" si="216"/>
        <v>1+0,543627130976647i</v>
      </c>
      <c r="AJ264">
        <f t="shared" si="236"/>
        <v>1.1382137134712007</v>
      </c>
      <c r="AK264">
        <f t="shared" si="237"/>
        <v>0.49793725033725411</v>
      </c>
      <c r="AL264" t="str">
        <f t="shared" si="217"/>
        <v>1-0,036989141145165i</v>
      </c>
      <c r="AM264">
        <f t="shared" si="238"/>
        <v>1.0006838644460381</v>
      </c>
      <c r="AN264">
        <f t="shared" si="239"/>
        <v>-3.6972285508174142E-2</v>
      </c>
      <c r="AO264" s="58" t="str">
        <f t="shared" si="240"/>
        <v>1,29964725800897-2,0601039867045i</v>
      </c>
      <c r="AP264">
        <f t="shared" si="241"/>
        <v>7.7328250500999252</v>
      </c>
      <c r="AQ264" s="60">
        <f t="shared" si="242"/>
        <v>-57.753611794259385</v>
      </c>
      <c r="AR264" t="str">
        <f t="shared" si="218"/>
        <v>-1,05811623246493</v>
      </c>
      <c r="AS264" t="str">
        <f t="shared" si="219"/>
        <v>1+0,535798900290583i</v>
      </c>
      <c r="AT264">
        <f t="shared" si="243"/>
        <v>1.1344956859999946</v>
      </c>
      <c r="AU264">
        <f t="shared" si="244"/>
        <v>0.4918749197858347</v>
      </c>
      <c r="AV264" t="str">
        <f t="shared" si="220"/>
        <v>1+0,535798900290583i</v>
      </c>
      <c r="AW264">
        <f t="shared" si="245"/>
        <v>1.1344956859999946</v>
      </c>
      <c r="AX264">
        <f t="shared" si="246"/>
        <v>0.4918749197858347</v>
      </c>
      <c r="AY264" t="str">
        <f t="shared" si="221"/>
        <v>1-0,0475076478147689i</v>
      </c>
      <c r="AZ264">
        <f t="shared" si="247"/>
        <v>1.0011278522750688</v>
      </c>
      <c r="BA264">
        <f t="shared" si="248"/>
        <v>-4.7471954920638104E-2</v>
      </c>
      <c r="BB264" s="58" t="str">
        <f t="shared" si="249"/>
        <v>-0,801179409938015+0,479539660099281i</v>
      </c>
      <c r="BC264">
        <f t="shared" si="250"/>
        <v>-0.59559855747099932</v>
      </c>
      <c r="BD264" s="60">
        <f t="shared" si="251"/>
        <v>149.09770038574788</v>
      </c>
      <c r="BE264" s="58" t="str">
        <f t="shared" si="252"/>
        <v>0,215666920441506+0,703975808170891i</v>
      </c>
      <c r="BF264" s="37">
        <f t="shared" si="253"/>
        <v>-2.6592527211537664</v>
      </c>
      <c r="BG264" s="60">
        <f t="shared" si="254"/>
        <v>72.967261993293931</v>
      </c>
      <c r="BH264" s="58" t="str">
        <f t="shared" si="255"/>
        <v>-0,053349057745736+2,27374530083345i</v>
      </c>
      <c r="BI264" s="37">
        <f t="shared" si="256"/>
        <v>7.137226492628935</v>
      </c>
      <c r="BJ264" s="60">
        <f t="shared" si="257"/>
        <v>91.344088591488486</v>
      </c>
      <c r="BK264">
        <f t="shared" si="258"/>
        <v>-2.6592527211537664</v>
      </c>
      <c r="BL264" s="60">
        <f t="shared" si="259"/>
        <v>72.967261993293931</v>
      </c>
      <c r="BN264">
        <f t="shared" si="260"/>
        <v>0</v>
      </c>
      <c r="BO264">
        <f t="shared" si="261"/>
        <v>0</v>
      </c>
    </row>
    <row r="265" spans="13:67" x14ac:dyDescent="0.25">
      <c r="M265" s="66">
        <v>47</v>
      </c>
      <c r="N265" s="36">
        <f t="shared" si="262"/>
        <v>2951.2092266663876</v>
      </c>
      <c r="O265" s="91" t="str">
        <f t="shared" si="210"/>
        <v>13,7404580152672</v>
      </c>
      <c r="P265" s="67" t="str">
        <f t="shared" si="211"/>
        <v>1+20,0264340075153i</v>
      </c>
      <c r="Q265" s="67">
        <f t="shared" si="222"/>
        <v>20.051385464784357</v>
      </c>
      <c r="R265" s="67">
        <f t="shared" si="223"/>
        <v>1.5209037644960288</v>
      </c>
      <c r="S265" s="67" t="str">
        <f t="shared" si="212"/>
        <v>1+0,556289833542094i</v>
      </c>
      <c r="T265" s="67">
        <f t="shared" si="224"/>
        <v>1.1443156814892868</v>
      </c>
      <c r="U265" s="67">
        <f t="shared" si="225"/>
        <v>0.50765942869729153</v>
      </c>
      <c r="V265" t="str">
        <f t="shared" si="213"/>
        <v>1-0,115893715321269i</v>
      </c>
      <c r="W265" s="67">
        <f t="shared" si="226"/>
        <v>1.0066932766493315</v>
      </c>
      <c r="X265" s="67">
        <f t="shared" si="227"/>
        <v>-0.11537898728367824</v>
      </c>
      <c r="Y265" t="str">
        <f t="shared" si="214"/>
        <v>0,999442583302428+0,201094764254148i</v>
      </c>
      <c r="Z265" s="67">
        <f t="shared" si="228"/>
        <v>1.0194726977848214</v>
      </c>
      <c r="AA265" s="67">
        <f t="shared" si="229"/>
        <v>0.19855579037727736</v>
      </c>
      <c r="AB265" s="92" t="str">
        <f t="shared" si="230"/>
        <v>0,186778908473421-0,751462239120825i</v>
      </c>
      <c r="AC265" s="37">
        <f t="shared" si="231"/>
        <v>-2.2215151678055953</v>
      </c>
      <c r="AD265" s="60">
        <f t="shared" si="232"/>
        <v>-76.041761859154676</v>
      </c>
      <c r="AE265" t="str">
        <f t="shared" si="233"/>
        <v>21,0353732052265</v>
      </c>
      <c r="AF265" t="str">
        <f t="shared" si="215"/>
        <v>1+10,0132170037577i</v>
      </c>
      <c r="AG265">
        <f t="shared" si="234"/>
        <v>10.0630271173411</v>
      </c>
      <c r="AH265">
        <f t="shared" si="235"/>
        <v>1.4712583647030164</v>
      </c>
      <c r="AI265" t="str">
        <f t="shared" si="216"/>
        <v>1+0,556289833542094i</v>
      </c>
      <c r="AJ265">
        <f t="shared" si="236"/>
        <v>1.1443156814892868</v>
      </c>
      <c r="AK265">
        <f t="shared" si="237"/>
        <v>0.50765942869729153</v>
      </c>
      <c r="AL265" t="str">
        <f t="shared" si="217"/>
        <v>1-0,037850728924331i</v>
      </c>
      <c r="AM265">
        <f t="shared" si="238"/>
        <v>1.0007160824530119</v>
      </c>
      <c r="AN265">
        <f t="shared" si="239"/>
        <v>-3.7832668481831443E-2</v>
      </c>
      <c r="AO265" s="58" t="str">
        <f t="shared" si="240"/>
        <v>1,29046224279621-2,01611842245621i</v>
      </c>
      <c r="AP265">
        <f t="shared" si="241"/>
        <v>7.5815661482498511</v>
      </c>
      <c r="AQ265" s="60">
        <f t="shared" si="242"/>
        <v>-57.377804408151256</v>
      </c>
      <c r="AR265" t="str">
        <f t="shared" si="218"/>
        <v>-1,05811623246493</v>
      </c>
      <c r="AS265" t="str">
        <f t="shared" si="219"/>
        <v>1+0,548279259939087i</v>
      </c>
      <c r="AT265">
        <f t="shared" si="243"/>
        <v>1.1404429608180118</v>
      </c>
      <c r="AU265">
        <f t="shared" si="244"/>
        <v>0.50152114546111726</v>
      </c>
      <c r="AV265" t="str">
        <f t="shared" si="220"/>
        <v>1+0,548279259939087i</v>
      </c>
      <c r="AW265">
        <f t="shared" si="245"/>
        <v>1.1404429608180118</v>
      </c>
      <c r="AX265">
        <f t="shared" si="246"/>
        <v>0.50152114546111726</v>
      </c>
      <c r="AY265" t="str">
        <f t="shared" si="221"/>
        <v>1-0,0464262417246522i</v>
      </c>
      <c r="AZ265">
        <f t="shared" si="247"/>
        <v>1.0010771178688862</v>
      </c>
      <c r="BA265">
        <f t="shared" si="248"/>
        <v>-4.6392929151114197E-2</v>
      </c>
      <c r="BB265" s="58" t="str">
        <f t="shared" si="249"/>
        <v>-0,792845086749207+0,483824877390391i</v>
      </c>
      <c r="BC265">
        <f t="shared" si="250"/>
        <v>-0.6414531487506161</v>
      </c>
      <c r="BD265" s="60">
        <f t="shared" si="251"/>
        <v>148.60683598890307</v>
      </c>
      <c r="BE265" s="58" t="str">
        <f t="shared" si="252"/>
        <v>0,21548938581461+0,686161426655768i</v>
      </c>
      <c r="BF265" s="37">
        <f t="shared" si="253"/>
        <v>-2.8629683165562083</v>
      </c>
      <c r="BG265" s="60">
        <f t="shared" si="254"/>
        <v>72.565074129748425</v>
      </c>
      <c r="BH265" s="58" t="str">
        <f t="shared" si="255"/>
        <v>-0,047688400286953+2,22282732194677i</v>
      </c>
      <c r="BI265" s="37">
        <f t="shared" si="256"/>
        <v>6.9401129994992221</v>
      </c>
      <c r="BJ265" s="60">
        <f t="shared" si="257"/>
        <v>91.229031580751823</v>
      </c>
      <c r="BK265">
        <f t="shared" si="258"/>
        <v>-2.8629683165562083</v>
      </c>
      <c r="BL265" s="60">
        <f t="shared" si="259"/>
        <v>72.565074129748425</v>
      </c>
      <c r="BN265">
        <f t="shared" si="260"/>
        <v>0</v>
      </c>
      <c r="BO265">
        <f t="shared" si="261"/>
        <v>0</v>
      </c>
    </row>
    <row r="266" spans="13:67" x14ac:dyDescent="0.25">
      <c r="M266" s="66">
        <v>48</v>
      </c>
      <c r="N266" s="36">
        <f t="shared" si="262"/>
        <v>3019.9517204020176</v>
      </c>
      <c r="O266" s="91" t="str">
        <f t="shared" si="210"/>
        <v>13,7404580152672</v>
      </c>
      <c r="P266" s="67" t="str">
        <f t="shared" si="211"/>
        <v>1+20,4929095802634i</v>
      </c>
      <c r="Q266" s="67">
        <f t="shared" si="222"/>
        <v>20.517293755874615</v>
      </c>
      <c r="R266" s="67">
        <f t="shared" si="223"/>
        <v>1.5220376378181366</v>
      </c>
      <c r="S266" s="67" t="str">
        <f t="shared" si="212"/>
        <v>1+0,569247488340652i</v>
      </c>
      <c r="T266" s="67">
        <f t="shared" si="224"/>
        <v>1.1506705449354915</v>
      </c>
      <c r="U266" s="67">
        <f t="shared" si="225"/>
        <v>0.51750036838410318</v>
      </c>
      <c r="V266" t="str">
        <f t="shared" si="213"/>
        <v>1-0,118593226737636i</v>
      </c>
      <c r="W266" s="67">
        <f t="shared" si="226"/>
        <v>1.0070076233217127</v>
      </c>
      <c r="X266" s="67">
        <f t="shared" si="227"/>
        <v>-0.11804189278768985</v>
      </c>
      <c r="Y266" t="str">
        <f t="shared" si="214"/>
        <v>0,999416313062812+0,20577886304562i</v>
      </c>
      <c r="Z266" s="67">
        <f t="shared" si="228"/>
        <v>1.0203812558511709</v>
      </c>
      <c r="AA266" s="67">
        <f t="shared" si="229"/>
        <v>0.20306122917885036</v>
      </c>
      <c r="AB266" s="92" t="str">
        <f t="shared" si="230"/>
        <v>0,184580488925472-0,73776609282175i</v>
      </c>
      <c r="AC266" s="37">
        <f t="shared" si="231"/>
        <v>-2.3779516959329801</v>
      </c>
      <c r="AD266" s="60">
        <f t="shared" si="232"/>
        <v>-75.953599579323424</v>
      </c>
      <c r="AE266" t="str">
        <f t="shared" si="233"/>
        <v>21,0353732052265</v>
      </c>
      <c r="AF266" t="str">
        <f t="shared" si="215"/>
        <v>1+10,2464547901317i</v>
      </c>
      <c r="AG266">
        <f t="shared" si="234"/>
        <v>10.295136510324321</v>
      </c>
      <c r="AH266">
        <f t="shared" si="235"/>
        <v>1.4735096914197614</v>
      </c>
      <c r="AI266" t="str">
        <f t="shared" si="216"/>
        <v>1+0,569247488340652i</v>
      </c>
      <c r="AJ266">
        <f t="shared" si="236"/>
        <v>1.1506705449354915</v>
      </c>
      <c r="AK266">
        <f t="shared" si="237"/>
        <v>0.51750036838410318</v>
      </c>
      <c r="AL266" t="str">
        <f t="shared" si="217"/>
        <v>1-0,0387323856609864i</v>
      </c>
      <c r="AM266">
        <f t="shared" si="238"/>
        <v>1.0007498177361769</v>
      </c>
      <c r="AN266">
        <f t="shared" si="239"/>
        <v>-3.8713034331212821E-2</v>
      </c>
      <c r="AO266" s="58" t="str">
        <f t="shared" si="240"/>
        <v>1,28168263691867-1,97312001860809i</v>
      </c>
      <c r="AP266">
        <f t="shared" si="241"/>
        <v>7.4318925550418022</v>
      </c>
      <c r="AQ266" s="60">
        <f t="shared" si="242"/>
        <v>-56.993392864425672</v>
      </c>
      <c r="AR266" t="str">
        <f t="shared" si="218"/>
        <v>-1,05811623246493</v>
      </c>
      <c r="AS266" t="str">
        <f t="shared" si="219"/>
        <v>1+0,561050324508546i</v>
      </c>
      <c r="AT266">
        <f t="shared" si="243"/>
        <v>1.146637460852882</v>
      </c>
      <c r="AU266">
        <f t="shared" si="244"/>
        <v>0.5112875410084704</v>
      </c>
      <c r="AV266" t="str">
        <f t="shared" si="220"/>
        <v>1+0,561050324508546i</v>
      </c>
      <c r="AW266">
        <f t="shared" si="245"/>
        <v>1.146637460852882</v>
      </c>
      <c r="AX266">
        <f t="shared" si="246"/>
        <v>0.5112875410084704</v>
      </c>
      <c r="AY266" t="str">
        <f t="shared" si="221"/>
        <v>1-0,0453694514424218i</v>
      </c>
      <c r="AZ266">
        <f t="shared" si="247"/>
        <v>1.0010286644867801</v>
      </c>
      <c r="BA266">
        <f t="shared" si="248"/>
        <v>-4.5338360533447516E-2</v>
      </c>
      <c r="BB266" s="58" t="str">
        <f t="shared" si="249"/>
        <v>-0,784301823617086+0,488038945682266i</v>
      </c>
      <c r="BC266">
        <f t="shared" si="250"/>
        <v>-0.68892471091694396</v>
      </c>
      <c r="BD266" s="60">
        <f t="shared" si="251"/>
        <v>148.10768507398362</v>
      </c>
      <c r="BE266" s="58" t="str">
        <f t="shared" si="252"/>
        <v>0,215291772032471+0,668713759211655i</v>
      </c>
      <c r="BF266" s="37">
        <f t="shared" si="253"/>
        <v>-3.0668764068499241</v>
      </c>
      <c r="BG266" s="60">
        <f t="shared" si="254"/>
        <v>72.154085494660166</v>
      </c>
      <c r="BH266" s="58" t="str">
        <f t="shared" si="255"/>
        <v>-0,0422666158476031+2,17303267163076i</v>
      </c>
      <c r="BI266" s="37">
        <f t="shared" si="256"/>
        <v>6.7429678441248688</v>
      </c>
      <c r="BJ266" s="60">
        <f t="shared" si="257"/>
        <v>91.114292209557945</v>
      </c>
      <c r="BK266">
        <f t="shared" si="258"/>
        <v>-3.0668764068499241</v>
      </c>
      <c r="BL266" s="60">
        <f t="shared" si="259"/>
        <v>72.154085494660166</v>
      </c>
      <c r="BN266">
        <f t="shared" si="260"/>
        <v>0</v>
      </c>
      <c r="BO266">
        <f t="shared" si="261"/>
        <v>0</v>
      </c>
    </row>
    <row r="267" spans="13:67" x14ac:dyDescent="0.25">
      <c r="M267" s="66">
        <v>49</v>
      </c>
      <c r="N267" s="36">
        <f t="shared" si="262"/>
        <v>3090.295432513592</v>
      </c>
      <c r="O267" s="91" t="str">
        <f t="shared" si="210"/>
        <v>13,7404580152672</v>
      </c>
      <c r="P267" s="67" t="str">
        <f t="shared" si="211"/>
        <v>1+20,9702507649267i</v>
      </c>
      <c r="Q267" s="67">
        <f t="shared" si="222"/>
        <v>20.994080526279518</v>
      </c>
      <c r="R267" s="67">
        <f t="shared" si="223"/>
        <v>1.5231458222897167</v>
      </c>
      <c r="S267" s="67" t="str">
        <f t="shared" si="212"/>
        <v>1+0,582506965692409i</v>
      </c>
      <c r="T267" s="67">
        <f t="shared" si="224"/>
        <v>1.157287503207469</v>
      </c>
      <c r="U267" s="67">
        <f t="shared" si="225"/>
        <v>0.52745766221213441</v>
      </c>
      <c r="V267" t="str">
        <f t="shared" si="213"/>
        <v>1-0,121355617852585i</v>
      </c>
      <c r="W267" s="67">
        <f t="shared" si="226"/>
        <v>1.0073366795587178</v>
      </c>
      <c r="X267" s="67">
        <f t="shared" si="227"/>
        <v>-0.12076508501609905</v>
      </c>
      <c r="Y267" t="str">
        <f t="shared" si="214"/>
        <v>0,999388804744946+0,210572068514083i</v>
      </c>
      <c r="Z267" s="67">
        <f t="shared" si="228"/>
        <v>1.0213317673938433</v>
      </c>
      <c r="AA267" s="67">
        <f t="shared" si="229"/>
        <v>0.20766334543960621</v>
      </c>
      <c r="AB267" s="92" t="str">
        <f t="shared" si="230"/>
        <v>0,182420395989447-0,724441953489995i</v>
      </c>
      <c r="AC267" s="37">
        <f t="shared" si="231"/>
        <v>-2.5329315632662555</v>
      </c>
      <c r="AD267" s="60">
        <f t="shared" si="232"/>
        <v>-75.866292220809484</v>
      </c>
      <c r="AE267" t="str">
        <f t="shared" si="233"/>
        <v>21,0353732052265</v>
      </c>
      <c r="AF267" t="str">
        <f t="shared" si="215"/>
        <v>1+10,4851253824634i</v>
      </c>
      <c r="AG267">
        <f t="shared" si="234"/>
        <v>10.53270403486105</v>
      </c>
      <c r="AH267">
        <f t="shared" si="235"/>
        <v>1.4757107280545774</v>
      </c>
      <c r="AI267" t="str">
        <f t="shared" si="216"/>
        <v>1+0,582506965692409i</v>
      </c>
      <c r="AJ267">
        <f t="shared" si="236"/>
        <v>1.157287503207469</v>
      </c>
      <c r="AK267">
        <f t="shared" si="237"/>
        <v>0.52745766221213441</v>
      </c>
      <c r="AL267" t="str">
        <f t="shared" si="217"/>
        <v>1-0,0396345788212029i</v>
      </c>
      <c r="AM267">
        <f t="shared" si="238"/>
        <v>1.0007851416954261</v>
      </c>
      <c r="AN267">
        <f t="shared" si="239"/>
        <v>-3.9613844376251303E-2</v>
      </c>
      <c r="AO267" s="58" t="str">
        <f t="shared" si="240"/>
        <v>1,27329088677058-1,93109133548968i</v>
      </c>
      <c r="AP267">
        <f t="shared" si="241"/>
        <v>7.2838490629109378</v>
      </c>
      <c r="AQ267" s="60">
        <f t="shared" si="242"/>
        <v>-56.600604676160302</v>
      </c>
      <c r="AR267" t="str">
        <f t="shared" si="218"/>
        <v>-1,05811623246493</v>
      </c>
      <c r="AS267" t="str">
        <f t="shared" si="219"/>
        <v>1+0,574118865386438i</v>
      </c>
      <c r="AT267">
        <f t="shared" si="243"/>
        <v>1.153088232353713</v>
      </c>
      <c r="AU267">
        <f t="shared" si="244"/>
        <v>0.52117183162980929</v>
      </c>
      <c r="AV267" t="str">
        <f t="shared" si="220"/>
        <v>1+0,574118865386438i</v>
      </c>
      <c r="AW267">
        <f t="shared" si="245"/>
        <v>1.153088232353713</v>
      </c>
      <c r="AX267">
        <f t="shared" si="246"/>
        <v>0.52117183162980929</v>
      </c>
      <c r="AY267" t="str">
        <f t="shared" si="221"/>
        <v>1-0,0443367166438819i</v>
      </c>
      <c r="AZ267">
        <f t="shared" si="247"/>
        <v>1.0009823896766417</v>
      </c>
      <c r="BA267">
        <f t="shared" si="248"/>
        <v>-4.4307699309148602E-2</v>
      </c>
      <c r="BB267" s="58" t="str">
        <f t="shared" si="249"/>
        <v>-0,775551062253732+0,492171895485449i</v>
      </c>
      <c r="BC267">
        <f t="shared" si="250"/>
        <v>-0.73805452291680274</v>
      </c>
      <c r="BD267" s="60">
        <f t="shared" si="251"/>
        <v>147.60040947616025</v>
      </c>
      <c r="BE267" s="58" t="str">
        <f t="shared" si="252"/>
        <v>0,21507363753199+0,651623918639667i</v>
      </c>
      <c r="BF267" s="37">
        <f t="shared" si="253"/>
        <v>-3.2709860861830569</v>
      </c>
      <c r="BG267" s="60">
        <f t="shared" si="254"/>
        <v>71.73411725535081</v>
      </c>
      <c r="BH267" s="58" t="str">
        <f t="shared" si="255"/>
        <v>-0,037073216849437+2,12433792579422i</v>
      </c>
      <c r="BI267" s="37">
        <f t="shared" si="256"/>
        <v>6.5457945399941195</v>
      </c>
      <c r="BJ267" s="60">
        <f t="shared" si="257"/>
        <v>90.99980479999995</v>
      </c>
      <c r="BK267">
        <f t="shared" si="258"/>
        <v>-3.2709860861830569</v>
      </c>
      <c r="BL267" s="60">
        <f t="shared" si="259"/>
        <v>71.73411725535081</v>
      </c>
      <c r="BN267">
        <f t="shared" si="260"/>
        <v>0</v>
      </c>
      <c r="BO267">
        <f t="shared" si="261"/>
        <v>0</v>
      </c>
    </row>
    <row r="268" spans="13:67" x14ac:dyDescent="0.25">
      <c r="M268" s="66">
        <v>50</v>
      </c>
      <c r="N268" s="36">
        <f t="shared" si="262"/>
        <v>3162.2776601683804</v>
      </c>
      <c r="O268" s="91" t="str">
        <f t="shared" si="210"/>
        <v>13,7404580152672</v>
      </c>
      <c r="P268" s="67" t="str">
        <f t="shared" si="211"/>
        <v>1+21,4587106541196i</v>
      </c>
      <c r="Q268" s="67">
        <f t="shared" si="222"/>
        <v>21.481998578745557</v>
      </c>
      <c r="R268" s="67">
        <f t="shared" si="223"/>
        <v>1.5242288945912068</v>
      </c>
      <c r="S268" s="67" t="str">
        <f t="shared" si="212"/>
        <v>1+0,596075295947767i</v>
      </c>
      <c r="T268" s="67">
        <f t="shared" si="224"/>
        <v>1.1641759997694585</v>
      </c>
      <c r="U268" s="67">
        <f t="shared" si="225"/>
        <v>0.53752869110744983</v>
      </c>
      <c r="V268" t="str">
        <f t="shared" si="213"/>
        <v>1-0,124182353322451i</v>
      </c>
      <c r="W268" s="67">
        <f t="shared" si="226"/>
        <v>1.0076811285702942</v>
      </c>
      <c r="X268" s="67">
        <f t="shared" si="227"/>
        <v>-0.12354984619798662</v>
      </c>
      <c r="Y268" t="str">
        <f t="shared" si="214"/>
        <v>0,99936+0,215476922080524i</v>
      </c>
      <c r="Z268" s="67">
        <f t="shared" si="228"/>
        <v>1.0223261287619017</v>
      </c>
      <c r="AA268" s="67">
        <f t="shared" si="229"/>
        <v>0.2123638327112265</v>
      </c>
      <c r="AB268" s="92" t="str">
        <f t="shared" si="230"/>
        <v>0,180294442501096-0,711482377203132i</v>
      </c>
      <c r="AC268" s="37">
        <f t="shared" si="231"/>
        <v>-2.6864233525979362</v>
      </c>
      <c r="AD268" s="60">
        <f t="shared" si="232"/>
        <v>-75.780193386529376</v>
      </c>
      <c r="AE268" t="str">
        <f t="shared" si="233"/>
        <v>21,0353732052265</v>
      </c>
      <c r="AF268" t="str">
        <f t="shared" si="215"/>
        <v>1+10,7293553270598i</v>
      </c>
      <c r="AG268">
        <f t="shared" si="234"/>
        <v>10.77585568455269</v>
      </c>
      <c r="AH268">
        <f t="shared" si="235"/>
        <v>1.4778625562748089</v>
      </c>
      <c r="AI268" t="str">
        <f t="shared" si="216"/>
        <v>1+0,596075295947767i</v>
      </c>
      <c r="AJ268">
        <f t="shared" si="236"/>
        <v>1.1641759997694585</v>
      </c>
      <c r="AK268">
        <f t="shared" si="237"/>
        <v>0.53752869110744983</v>
      </c>
      <c r="AL268" t="str">
        <f t="shared" si="217"/>
        <v>1-0,0405577867597361i</v>
      </c>
      <c r="AM268">
        <f t="shared" si="238"/>
        <v>1.0008221290853077</v>
      </c>
      <c r="AN268">
        <f t="shared" si="239"/>
        <v>-4.0535570387259245E-2</v>
      </c>
      <c r="AO268" s="58" t="str">
        <f t="shared" si="240"/>
        <v>1,26527016906811-1,89001510085268i</v>
      </c>
      <c r="AP268">
        <f t="shared" si="241"/>
        <v>7.1374799266180409</v>
      </c>
      <c r="AQ268" s="60">
        <f t="shared" si="242"/>
        <v>-56.199678910658818</v>
      </c>
      <c r="AR268" t="str">
        <f t="shared" si="218"/>
        <v>-1,05811623246493</v>
      </c>
      <c r="AS268" t="str">
        <f t="shared" si="219"/>
        <v>1+0,587491811686118i</v>
      </c>
      <c r="AT268">
        <f t="shared" si="243"/>
        <v>1.1598045649152435</v>
      </c>
      <c r="AU268">
        <f t="shared" si="244"/>
        <v>0.53117153194544642</v>
      </c>
      <c r="AV268" t="str">
        <f t="shared" si="220"/>
        <v>1+0,587491811686118i</v>
      </c>
      <c r="AW268">
        <f t="shared" si="245"/>
        <v>1.1598045649152435</v>
      </c>
      <c r="AX268">
        <f t="shared" si="246"/>
        <v>0.53117153194544642</v>
      </c>
      <c r="AY268" t="str">
        <f t="shared" si="221"/>
        <v>1-0,0433274897593724i</v>
      </c>
      <c r="AZ268">
        <f t="shared" si="247"/>
        <v>1.000938195578952</v>
      </c>
      <c r="BA268">
        <f t="shared" si="248"/>
        <v>-4.3300407771641812E-2</v>
      </c>
      <c r="BB268" s="58" t="str">
        <f t="shared" si="249"/>
        <v>-0,766594765695338+0,4962136679538i</v>
      </c>
      <c r="BC268">
        <f t="shared" si="250"/>
        <v>-0.78888349425935189</v>
      </c>
      <c r="BD268" s="60">
        <f t="shared" si="251"/>
        <v>147.08518240551695</v>
      </c>
      <c r="BE268" s="58" t="str">
        <f t="shared" si="252"/>
        <v>0,214834504171156+0,634883232873551i</v>
      </c>
      <c r="BF268" s="37">
        <f t="shared" si="253"/>
        <v>-3.4753068468572934</v>
      </c>
      <c r="BG268" s="60">
        <f t="shared" si="254"/>
        <v>71.30498901898757</v>
      </c>
      <c r="BH268" s="58" t="str">
        <f t="shared" si="255"/>
        <v>-0,032098163115889+2,07672003494462i</v>
      </c>
      <c r="BI268" s="37">
        <f t="shared" si="256"/>
        <v>6.3485964323586792</v>
      </c>
      <c r="BJ268" s="60">
        <f t="shared" si="257"/>
        <v>90.885503494858128</v>
      </c>
      <c r="BK268">
        <f t="shared" si="258"/>
        <v>-3.4753068468572934</v>
      </c>
      <c r="BL268" s="60">
        <f t="shared" si="259"/>
        <v>71.30498901898757</v>
      </c>
      <c r="BN268">
        <f t="shared" si="260"/>
        <v>0</v>
      </c>
      <c r="BO268">
        <f t="shared" si="261"/>
        <v>0</v>
      </c>
    </row>
    <row r="269" spans="13:67" x14ac:dyDescent="0.25">
      <c r="M269" s="66">
        <v>51</v>
      </c>
      <c r="N269" s="36">
        <f t="shared" si="262"/>
        <v>3235.9365692962833</v>
      </c>
      <c r="O269" s="91" t="str">
        <f t="shared" si="210"/>
        <v>13,7404580152672</v>
      </c>
      <c r="P269" s="67" t="str">
        <f t="shared" si="211"/>
        <v>1+21,9585482357409i</v>
      </c>
      <c r="Q269" s="67">
        <f t="shared" si="222"/>
        <v>21.981306617700408</v>
      </c>
      <c r="R269" s="67">
        <f t="shared" si="223"/>
        <v>1.5252874188121519</v>
      </c>
      <c r="S269" s="67" t="str">
        <f t="shared" si="212"/>
        <v>1+0,609959673215026i</v>
      </c>
      <c r="T269" s="67">
        <f t="shared" si="224"/>
        <v>1.1713457230675242</v>
      </c>
      <c r="U269" s="67">
        <f t="shared" si="225"/>
        <v>0.547710622630731</v>
      </c>
      <c r="V269" t="str">
        <f t="shared" si="213"/>
        <v>1-0,127074931919797i</v>
      </c>
      <c r="W269" s="67">
        <f t="shared" si="226"/>
        <v>1.0080416848138876</v>
      </c>
      <c r="X269" s="67">
        <f t="shared" si="227"/>
        <v>-0.12639747999380285</v>
      </c>
      <c r="Y269" t="str">
        <f t="shared" si="214"/>
        <v>0,999329837729247+0,220496024363226i</v>
      </c>
      <c r="Z269" s="67">
        <f t="shared" si="228"/>
        <v>1.0233663182536112</v>
      </c>
      <c r="AA269" s="67">
        <f t="shared" si="229"/>
        <v>0.21716438786914397</v>
      </c>
      <c r="AB269" s="92" t="str">
        <f t="shared" si="230"/>
        <v>0,178198540994347-0,698880033868303i</v>
      </c>
      <c r="AC269" s="37">
        <f t="shared" si="231"/>
        <v>-2.8383965242231297</v>
      </c>
      <c r="AD269" s="60">
        <f t="shared" si="232"/>
        <v>-75.695669601294185</v>
      </c>
      <c r="AE269" t="str">
        <f t="shared" si="233"/>
        <v>21,0353732052265</v>
      </c>
      <c r="AF269" t="str">
        <f t="shared" si="215"/>
        <v>1+10,9792741178705i</v>
      </c>
      <c r="AG269">
        <f t="shared" si="234"/>
        <v>11.0247204116631</v>
      </c>
      <c r="AH269">
        <f t="shared" si="235"/>
        <v>1.479966237254321</v>
      </c>
      <c r="AI269" t="str">
        <f t="shared" si="216"/>
        <v>1+0,609959673215026i</v>
      </c>
      <c r="AJ269">
        <f t="shared" si="236"/>
        <v>1.1713457230675242</v>
      </c>
      <c r="AK269">
        <f t="shared" si="237"/>
        <v>0.547710622630731</v>
      </c>
      <c r="AL269" t="str">
        <f t="shared" si="217"/>
        <v>1-0,0415024989736551i</v>
      </c>
      <c r="AM269">
        <f t="shared" si="238"/>
        <v>1.0008608581721328</v>
      </c>
      <c r="AN269">
        <f t="shared" si="239"/>
        <v>-4.1478694807364443E-2</v>
      </c>
      <c r="AO269" s="58" t="str">
        <f t="shared" si="240"/>
        <v>1,25760436307645-1,84987422269059i</v>
      </c>
      <c r="AP269">
        <f t="shared" si="241"/>
        <v>6.9928287668181968</v>
      </c>
      <c r="AQ269" s="60">
        <f t="shared" si="242"/>
        <v>-55.790866297479376</v>
      </c>
      <c r="AR269" t="str">
        <f t="shared" si="218"/>
        <v>-1,05811623246493</v>
      </c>
      <c r="AS269" t="str">
        <f t="shared" si="219"/>
        <v>1+0,601176253920729i</v>
      </c>
      <c r="AT269">
        <f t="shared" si="243"/>
        <v>1.1667959925703211</v>
      </c>
      <c r="AU269">
        <f t="shared" si="244"/>
        <v>0.54128394405330871</v>
      </c>
      <c r="AV269" t="str">
        <f t="shared" si="220"/>
        <v>1+0,601176253920729i</v>
      </c>
      <c r="AW269">
        <f t="shared" si="245"/>
        <v>1.1667959925703211</v>
      </c>
      <c r="AX269">
        <f t="shared" si="246"/>
        <v>0.54128394405330871</v>
      </c>
      <c r="AY269" t="str">
        <f t="shared" si="221"/>
        <v>1-0,0423412356834405i</v>
      </c>
      <c r="AZ269">
        <f t="shared" si="247"/>
        <v>1.0008959887217055</v>
      </c>
      <c r="BA269">
        <f t="shared" si="248"/>
        <v>-4.2315960022552709E-2</v>
      </c>
      <c r="BB269" s="58" t="str">
        <f t="shared" si="249"/>
        <v>-0,75743543608849+0,500154146833764i</v>
      </c>
      <c r="BC269">
        <f t="shared" si="250"/>
        <v>-0.84145206389919125</v>
      </c>
      <c r="BD269" s="60">
        <f t="shared" si="251"/>
        <v>146.56218857221344</v>
      </c>
      <c r="BE269" s="58" t="str">
        <f t="shared" si="252"/>
        <v>0,214573857470167+0,618483242464626i</v>
      </c>
      <c r="BF269" s="37">
        <f t="shared" si="253"/>
        <v>-3.6798485881223209</v>
      </c>
      <c r="BG269" s="60">
        <f t="shared" si="254"/>
        <v>70.866518970919302</v>
      </c>
      <c r="BH269" s="58" t="str">
        <f t="shared" si="255"/>
        <v>-0,027331845574014+2,03015632584142i</v>
      </c>
      <c r="BI269" s="37">
        <f t="shared" si="256"/>
        <v>6.1513767029189843</v>
      </c>
      <c r="BJ269" s="60">
        <f t="shared" si="257"/>
        <v>90.771322274734061</v>
      </c>
      <c r="BK269">
        <f t="shared" si="258"/>
        <v>-3.6798485881223209</v>
      </c>
      <c r="BL269" s="60">
        <f t="shared" si="259"/>
        <v>70.866518970919302</v>
      </c>
      <c r="BN269">
        <f t="shared" si="260"/>
        <v>0</v>
      </c>
      <c r="BO269">
        <f t="shared" si="261"/>
        <v>0</v>
      </c>
    </row>
    <row r="270" spans="13:67" x14ac:dyDescent="0.25">
      <c r="M270" s="66">
        <v>52</v>
      </c>
      <c r="N270" s="36">
        <f t="shared" si="262"/>
        <v>3311.3112148259115</v>
      </c>
      <c r="O270" s="91" t="str">
        <f t="shared" si="210"/>
        <v>13,7404580152672</v>
      </c>
      <c r="P270" s="67" t="str">
        <f t="shared" si="211"/>
        <v>1+22,4700285302927i</v>
      </c>
      <c r="Q270" s="67">
        <f t="shared" si="222"/>
        <v>22.492269386439599</v>
      </c>
      <c r="R270" s="67">
        <f t="shared" si="223"/>
        <v>1.5263219467023212</v>
      </c>
      <c r="S270" s="67" t="str">
        <f t="shared" si="212"/>
        <v>1+0,624167459174797i</v>
      </c>
      <c r="T270" s="67">
        <f t="shared" si="224"/>
        <v>1.1788066071636694</v>
      </c>
      <c r="U270" s="67">
        <f t="shared" si="225"/>
        <v>0.55800041027660585</v>
      </c>
      <c r="V270" t="str">
        <f t="shared" si="213"/>
        <v>1-0,130034887328082i</v>
      </c>
      <c r="W270" s="67">
        <f t="shared" si="226"/>
        <v>1.0084190953777239</v>
      </c>
      <c r="X270" s="67">
        <f t="shared" si="227"/>
        <v>-0.12930931142593069</v>
      </c>
      <c r="Y270" t="str">
        <f t="shared" si="214"/>
        <v>0,999298253954468+0,225632036556656i</v>
      </c>
      <c r="Z270" s="67">
        <f t="shared" si="228"/>
        <v>1.0244543993156321</v>
      </c>
      <c r="AA270" s="67">
        <f t="shared" si="229"/>
        <v>0.22206670903624384</v>
      </c>
      <c r="AB270" s="92" t="str">
        <f>(IMDIV(IMPRODUCT(O270,S270,V270),IMPRODUCT(P270,Y270)))</f>
        <v>0,176128697950287-0,68662770260498i</v>
      </c>
      <c r="AC270" s="37">
        <f t="shared" si="231"/>
        <v>-2.9888215285562008</v>
      </c>
      <c r="AD270" s="60">
        <f t="shared" si="232"/>
        <v>-75.613100243402002</v>
      </c>
      <c r="AE270" t="str">
        <f t="shared" si="233"/>
        <v>21,0353732052265</v>
      </c>
      <c r="AF270" t="str">
        <f t="shared" si="215"/>
        <v>1+11,2350142651463i</v>
      </c>
      <c r="AG270">
        <f t="shared" si="234"/>
        <v>11.27943019562783</v>
      </c>
      <c r="AH270">
        <f t="shared" si="235"/>
        <v>1.4820228118731964</v>
      </c>
      <c r="AI270" t="str">
        <f t="shared" si="216"/>
        <v>1+0,624167459174797i</v>
      </c>
      <c r="AJ270">
        <f t="shared" si="236"/>
        <v>1.1788066071636694</v>
      </c>
      <c r="AK270">
        <f t="shared" si="237"/>
        <v>0.55800041027660585</v>
      </c>
      <c r="AL270" t="str">
        <f t="shared" si="217"/>
        <v>1-0,0424692163618806i</v>
      </c>
      <c r="AM270">
        <f t="shared" si="238"/>
        <v>1.0009014108983922</v>
      </c>
      <c r="AN270">
        <f t="shared" si="239"/>
        <v>-4.2443710978642413E-2</v>
      </c>
      <c r="AO270" s="58" t="str">
        <f t="shared" si="240"/>
        <v>1,25027802365874-1,81065180081067i</v>
      </c>
      <c r="AP270">
        <f t="shared" si="241"/>
        <v>6.8499384704468138</v>
      </c>
      <c r="AQ270" s="60">
        <f t="shared" si="242"/>
        <v>-55.374429292976373</v>
      </c>
      <c r="AR270" t="str">
        <f t="shared" si="218"/>
        <v>-1,05811623246493</v>
      </c>
      <c r="AS270" t="str">
        <f t="shared" si="219"/>
        <v>1+0,615179447762679i</v>
      </c>
      <c r="AT270">
        <f t="shared" si="243"/>
        <v>1.1740722946009732</v>
      </c>
      <c r="AU270">
        <f t="shared" si="244"/>
        <v>0.55150615633361055</v>
      </c>
      <c r="AV270" t="str">
        <f t="shared" si="220"/>
        <v>1+0,615179447762679i</v>
      </c>
      <c r="AW270">
        <f t="shared" si="245"/>
        <v>1.1740722946009732</v>
      </c>
      <c r="AX270">
        <f t="shared" si="246"/>
        <v>0.55150615633361055</v>
      </c>
      <c r="AY270" t="str">
        <f t="shared" si="221"/>
        <v>1-0,0413774314911203i</v>
      </c>
      <c r="AZ270">
        <f t="shared" si="247"/>
        <v>1.0008556798244201</v>
      </c>
      <c r="BA270">
        <f t="shared" si="248"/>
        <v>-4.1353841731522532E-2</v>
      </c>
      <c r="BB270" s="58" t="str">
        <f t="shared" si="249"/>
        <v>-0,748076130324997+0,503983192656233i</v>
      </c>
      <c r="BC270">
        <f t="shared" si="250"/>
        <v>-0.89580009579768805</v>
      </c>
      <c r="BD270" s="60">
        <f t="shared" si="251"/>
        <v>146.03162426873376</v>
      </c>
      <c r="BE270" s="58" t="str">
        <f t="shared" si="252"/>
        <v>0,214291146923241+0,602415698250047i</v>
      </c>
      <c r="BF270" s="37">
        <f t="shared" si="253"/>
        <v>-3.884621624353894</v>
      </c>
      <c r="BG270" s="60">
        <f t="shared" si="254"/>
        <v>70.418524025331763</v>
      </c>
      <c r="BH270" s="58" t="str">
        <f t="shared" si="255"/>
        <v>-0,0227650704076962+1,98462450258789i</v>
      </c>
      <c r="BI270" s="37">
        <f t="shared" si="256"/>
        <v>5.9541383746491245</v>
      </c>
      <c r="BJ270" s="60">
        <f t="shared" si="257"/>
        <v>90.657194975757378</v>
      </c>
      <c r="BK270">
        <f t="shared" si="258"/>
        <v>-3.884621624353894</v>
      </c>
      <c r="BL270" s="60">
        <f t="shared" si="259"/>
        <v>70.418524025331763</v>
      </c>
      <c r="BN270">
        <f t="shared" si="260"/>
        <v>0</v>
      </c>
      <c r="BO270">
        <f t="shared" si="261"/>
        <v>0</v>
      </c>
    </row>
    <row r="271" spans="13:67" x14ac:dyDescent="0.25">
      <c r="M271" s="66">
        <v>53</v>
      </c>
      <c r="N271" s="36">
        <f t="shared" si="262"/>
        <v>3388.4415613920314</v>
      </c>
      <c r="O271" s="91" t="str">
        <f t="shared" si="210"/>
        <v>13,7404580152672</v>
      </c>
      <c r="P271" s="67" t="str">
        <f t="shared" si="211"/>
        <v>1+22,9934227313971i</v>
      </c>
      <c r="Q271" s="67">
        <f t="shared" si="222"/>
        <v>23.015157807513049</v>
      </c>
      <c r="R271" s="67">
        <f t="shared" si="223"/>
        <v>1.5273330179194424</v>
      </c>
      <c r="S271" s="67" t="str">
        <f t="shared" si="212"/>
        <v>1+0,638706186983254i</v>
      </c>
      <c r="T271" s="67">
        <f t="shared" si="224"/>
        <v>1.1865688320913741</v>
      </c>
      <c r="U271" s="67">
        <f t="shared" si="225"/>
        <v>0.56839479359558065</v>
      </c>
      <c r="V271" t="str">
        <f t="shared" si="213"/>
        <v>1-0,133063788954844i</v>
      </c>
      <c r="W271" s="67">
        <f t="shared" si="226"/>
        <v>1.0088141414210148</v>
      </c>
      <c r="X271" s="67">
        <f t="shared" si="227"/>
        <v>-0.13228668677103744</v>
      </c>
      <c r="Y271" t="str">
        <f t="shared" si="214"/>
        <v>0,999265181682242+0,230887681842462i</v>
      </c>
      <c r="Z271" s="67">
        <f t="shared" si="228"/>
        <v>1.0255925238363577</v>
      </c>
      <c r="AA271" s="67">
        <f t="shared" si="229"/>
        <v>0.22707249335092269</v>
      </c>
      <c r="AB271" s="92" t="str">
        <f t="shared" si="230"/>
        <v>0,174081008413613-0,674718266966137i</v>
      </c>
      <c r="AC271" s="37">
        <f t="shared" si="231"/>
        <v>-3.1376699209083494</v>
      </c>
      <c r="AD271" s="60">
        <f t="shared" si="232"/>
        <v>-75.532877417796527</v>
      </c>
      <c r="AE271" t="str">
        <f t="shared" si="233"/>
        <v>21,0353732052265</v>
      </c>
      <c r="AF271" t="str">
        <f t="shared" si="215"/>
        <v>1+11,4967113656986i</v>
      </c>
      <c r="AG271">
        <f t="shared" si="234"/>
        <v>11.540120113161013</v>
      </c>
      <c r="AH271">
        <f t="shared" si="235"/>
        <v>1.4840333009297721</v>
      </c>
      <c r="AI271" t="str">
        <f t="shared" si="216"/>
        <v>1+0,638706186983254i</v>
      </c>
      <c r="AJ271">
        <f t="shared" si="236"/>
        <v>1.1865688320913741</v>
      </c>
      <c r="AK271">
        <f t="shared" si="237"/>
        <v>0.56839479359558065</v>
      </c>
      <c r="AL271" t="str">
        <f t="shared" si="217"/>
        <v>1-0,0434584514907675i</v>
      </c>
      <c r="AM271">
        <f t="shared" si="238"/>
        <v>1.0009438730548159</v>
      </c>
      <c r="AN271">
        <f t="shared" si="239"/>
        <v>-4.3431123371925048E-2</v>
      </c>
      <c r="AO271" s="58" t="str">
        <f t="shared" si="240"/>
        <v>1,24327635514421-1,7723311372404i</v>
      </c>
      <c r="AP271">
        <f t="shared" si="241"/>
        <v>6.7088510884063615</v>
      </c>
      <c r="AQ271" s="60">
        <f t="shared" si="242"/>
        <v>-54.950642098630908</v>
      </c>
      <c r="AR271" t="str">
        <f t="shared" si="218"/>
        <v>-1,05811623246493</v>
      </c>
      <c r="AS271" t="str">
        <f t="shared" si="219"/>
        <v>1+0,629508817890694i</v>
      </c>
      <c r="AT271">
        <f t="shared" si="243"/>
        <v>1.1816434960689874</v>
      </c>
      <c r="AU271">
        <f t="shared" si="244"/>
        <v>0.56183504304740628</v>
      </c>
      <c r="AV271" t="str">
        <f t="shared" si="220"/>
        <v>1+0,629508817890694i</v>
      </c>
      <c r="AW271">
        <f t="shared" si="245"/>
        <v>1.1816434960689874</v>
      </c>
      <c r="AX271">
        <f t="shared" si="246"/>
        <v>0.56183504304740628</v>
      </c>
      <c r="AY271" t="str">
        <f t="shared" si="221"/>
        <v>1-0,0404355661606718i</v>
      </c>
      <c r="AZ271">
        <f t="shared" si="247"/>
        <v>1.0008171836108402</v>
      </c>
      <c r="BA271">
        <f t="shared" si="248"/>
        <v>-4.0413549899603343E-2</v>
      </c>
      <c r="BB271" s="58" t="str">
        <f t="shared" si="249"/>
        <v>-0,738520473254579+0,507690679030082i</v>
      </c>
      <c r="BC271">
        <f t="shared" si="250"/>
        <v>-0.95196677160915466</v>
      </c>
      <c r="BD271" s="60">
        <f t="shared" si="251"/>
        <v>145.49369740644408</v>
      </c>
      <c r="BE271" s="58" t="str">
        <f t="shared" si="252"/>
        <v>0,213985786391782+0,58667255920109i</v>
      </c>
      <c r="BF271" s="37">
        <f t="shared" si="253"/>
        <v>-4.089636692517499</v>
      </c>
      <c r="BG271" s="60">
        <f t="shared" si="254"/>
        <v>69.960819988647614</v>
      </c>
      <c r="BH271" s="58" t="str">
        <f t="shared" si="255"/>
        <v>-0,0183890436555939+1,94010264720382i</v>
      </c>
      <c r="BI271" s="37">
        <f t="shared" si="256"/>
        <v>5.7568843167972261</v>
      </c>
      <c r="BJ271" s="60">
        <f t="shared" si="257"/>
        <v>90.543055307813177</v>
      </c>
      <c r="BK271">
        <f t="shared" si="258"/>
        <v>-4.089636692517499</v>
      </c>
      <c r="BL271" s="60">
        <f t="shared" si="259"/>
        <v>69.960819988647614</v>
      </c>
      <c r="BN271">
        <f t="shared" si="260"/>
        <v>0</v>
      </c>
      <c r="BO271">
        <f t="shared" si="261"/>
        <v>0</v>
      </c>
    </row>
    <row r="272" spans="13:67" x14ac:dyDescent="0.25">
      <c r="M272" s="66">
        <v>54</v>
      </c>
      <c r="N272" s="36">
        <f t="shared" si="262"/>
        <v>3467.3685045253224</v>
      </c>
      <c r="O272" s="91" t="str">
        <f t="shared" si="210"/>
        <v>13,7404580152672</v>
      </c>
      <c r="P272" s="67" t="str">
        <f t="shared" si="211"/>
        <v>1+23,5290083495877i</v>
      </c>
      <c r="Q272" s="67">
        <f t="shared" si="222"/>
        <v>23.550249126388611</v>
      </c>
      <c r="R272" s="67">
        <f t="shared" si="223"/>
        <v>1.5283211602734887</v>
      </c>
      <c r="S272" s="67" t="str">
        <f t="shared" si="212"/>
        <v>1+0,653583565266325i</v>
      </c>
      <c r="T272" s="67">
        <f t="shared" si="224"/>
        <v>1.1946428239378666</v>
      </c>
      <c r="U272" s="67">
        <f t="shared" si="225"/>
        <v>0.57889029918088575</v>
      </c>
      <c r="V272" t="str">
        <f t="shared" si="213"/>
        <v>1-0,136163242763817i</v>
      </c>
      <c r="W272" s="67">
        <f t="shared" si="226"/>
        <v>1.0092276396730115</v>
      </c>
      <c r="X272" s="67">
        <f t="shared" si="227"/>
        <v>-0.13533097341116482</v>
      </c>
      <c r="Y272" t="str">
        <f t="shared" si="214"/>
        <v>0,999230550761845+0,236265746833339i</v>
      </c>
      <c r="Z272" s="67">
        <f t="shared" si="228"/>
        <v>1.0267829355333753</v>
      </c>
      <c r="AA272" s="67">
        <f t="shared" si="229"/>
        <v>0.23218343457301571</v>
      </c>
      <c r="AB272" s="92" t="str">
        <f t="shared" si="230"/>
        <v>0,172051650979792-0,66314471000609i</v>
      </c>
      <c r="AC272" s="37">
        <f t="shared" si="231"/>
        <v>-3.2849144778247013</v>
      </c>
      <c r="AD272" s="60">
        <f t="shared" si="232"/>
        <v>-75.455405767820281</v>
      </c>
      <c r="AE272" t="str">
        <f t="shared" si="233"/>
        <v>21,0353732052265</v>
      </c>
      <c r="AF272" t="str">
        <f t="shared" si="215"/>
        <v>1+11,7645041747938i</v>
      </c>
      <c r="AG272">
        <f t="shared" si="234"/>
        <v>11.806928409994731</v>
      </c>
      <c r="AH272">
        <f t="shared" si="235"/>
        <v>1.4859987053636818</v>
      </c>
      <c r="AI272" t="str">
        <f t="shared" si="216"/>
        <v>1+0,653583565266325i</v>
      </c>
      <c r="AJ272">
        <f t="shared" si="236"/>
        <v>1.1946428239378666</v>
      </c>
      <c r="AK272">
        <f t="shared" si="237"/>
        <v>0.57889029918088575</v>
      </c>
      <c r="AL272" t="str">
        <f t="shared" si="217"/>
        <v>1-0,0444707288658755i</v>
      </c>
      <c r="AM272">
        <f t="shared" si="238"/>
        <v>1.0009883344604282</v>
      </c>
      <c r="AN272">
        <f t="shared" si="239"/>
        <v>-4.4441447820262214E-2</v>
      </c>
      <c r="AO272" s="58" t="str">
        <f t="shared" si="240"/>
        <v>1,23658518601191-1,73489574554778i</v>
      </c>
      <c r="AP272">
        <f t="shared" si="241"/>
        <v>6.5696077310966947</v>
      </c>
      <c r="AQ272" s="60">
        <f t="shared" si="242"/>
        <v>-54.519790630664893</v>
      </c>
      <c r="AR272" t="str">
        <f t="shared" si="218"/>
        <v>-1,05811623246493</v>
      </c>
      <c r="AS272" t="str">
        <f t="shared" si="219"/>
        <v>1+0,644171961926489i</v>
      </c>
      <c r="AT272">
        <f t="shared" si="243"/>
        <v>1.1895198680695593</v>
      </c>
      <c r="AU272">
        <f t="shared" si="244"/>
        <v>0.57226726477391476</v>
      </c>
      <c r="AV272" t="str">
        <f t="shared" si="220"/>
        <v>1+0,644171961926489i</v>
      </c>
      <c r="AW272">
        <f t="shared" si="245"/>
        <v>1.1895198680695593</v>
      </c>
      <c r="AX272">
        <f t="shared" si="246"/>
        <v>0.57226726477391476</v>
      </c>
      <c r="AY272" t="str">
        <f t="shared" si="221"/>
        <v>1-0,0395151403026297i</v>
      </c>
      <c r="AZ272">
        <f t="shared" si="247"/>
        <v>1.0007804186299494</v>
      </c>
      <c r="BA272">
        <f t="shared" si="248"/>
        <v>-3.9494592626273736E-2</v>
      </c>
      <c r="BB272" s="58" t="str">
        <f t="shared" si="249"/>
        <v>-0,72877266821175+0,511266530862707i</v>
      </c>
      <c r="BC272">
        <f t="shared" si="250"/>
        <v>-1.009990480990685</v>
      </c>
      <c r="BD272" s="60">
        <f t="shared" si="251"/>
        <v>144.94862750388509</v>
      </c>
      <c r="BE272" s="58" t="str">
        <f t="shared" si="252"/>
        <v>0,21365715458999+0,571245990447285i</v>
      </c>
      <c r="BF272" s="37">
        <f t="shared" si="253"/>
        <v>-4.2949049588153843</v>
      </c>
      <c r="BG272" s="60">
        <f t="shared" si="254"/>
        <v>69.493221736064797</v>
      </c>
      <c r="BH272" s="58" t="str">
        <f t="shared" si="255"/>
        <v>-0,0141953562463397+1,89656921972059i</v>
      </c>
      <c r="BI272" s="37">
        <f t="shared" si="256"/>
        <v>5.5596172501059939</v>
      </c>
      <c r="BJ272" s="60">
        <f t="shared" si="257"/>
        <v>90.428836873220192</v>
      </c>
      <c r="BK272">
        <f t="shared" si="258"/>
        <v>-4.2949049588153843</v>
      </c>
      <c r="BL272" s="60">
        <f t="shared" si="259"/>
        <v>69.493221736064797</v>
      </c>
      <c r="BN272">
        <f t="shared" si="260"/>
        <v>0</v>
      </c>
      <c r="BO272">
        <f t="shared" si="261"/>
        <v>0</v>
      </c>
    </row>
    <row r="273" spans="13:67" x14ac:dyDescent="0.25">
      <c r="M273" s="66">
        <v>55</v>
      </c>
      <c r="N273" s="36">
        <f t="shared" si="262"/>
        <v>3548.1338923357539</v>
      </c>
      <c r="O273" s="91" t="str">
        <f t="shared" si="210"/>
        <v>13,7404580152672</v>
      </c>
      <c r="P273" s="67" t="str">
        <f t="shared" si="211"/>
        <v>1+24,0770693594483i</v>
      </c>
      <c r="Q273" s="67">
        <f t="shared" si="222"/>
        <v>24.097827058464922</v>
      </c>
      <c r="R273" s="67">
        <f t="shared" si="223"/>
        <v>1.529286889967441</v>
      </c>
      <c r="S273" s="67" t="str">
        <f t="shared" si="212"/>
        <v>1+0,668807482206898i</v>
      </c>
      <c r="T273" s="67">
        <f t="shared" si="224"/>
        <v>1.2030392546612643</v>
      </c>
      <c r="U273" s="67">
        <f t="shared" si="225"/>
        <v>0.58948324255773588</v>
      </c>
      <c r="V273" t="str">
        <f t="shared" si="213"/>
        <v>1-0,139334892126437i</v>
      </c>
      <c r="W273" s="67">
        <f t="shared" si="226"/>
        <v>1.0096604439928731</v>
      </c>
      <c r="X273" s="67">
        <f t="shared" si="227"/>
        <v>-0.13844355964036101</v>
      </c>
      <c r="Y273" t="str">
        <f t="shared" si="214"/>
        <v>0,999194287736452+0,241769083050534i</v>
      </c>
      <c r="Z273" s="67">
        <f t="shared" si="228"/>
        <v>1.028027973434698</v>
      </c>
      <c r="AA273" s="67">
        <f t="shared" si="229"/>
        <v>0.23740122052119125</v>
      </c>
      <c r="AB273" s="92" t="str">
        <f t="shared" si="230"/>
        <v>0,17003688315714-0,651900109203497i</v>
      </c>
      <c r="AC273" s="37">
        <f t="shared" si="231"/>
        <v>-3.4305293143263738</v>
      </c>
      <c r="AD273" s="60">
        <f t="shared" si="232"/>
        <v>-75.3811022228562</v>
      </c>
      <c r="AE273" t="str">
        <f t="shared" si="233"/>
        <v>21,0353732052265</v>
      </c>
      <c r="AF273" t="str">
        <f t="shared" si="215"/>
        <v>1+12,0385346797242i</v>
      </c>
      <c r="AG273">
        <f t="shared" si="234"/>
        <v>12.079996574292654</v>
      </c>
      <c r="AH273">
        <f t="shared" si="235"/>
        <v>1.4879200064887108</v>
      </c>
      <c r="AI273" t="str">
        <f t="shared" si="216"/>
        <v>1+0,668807482206898i</v>
      </c>
      <c r="AJ273">
        <f t="shared" si="236"/>
        <v>1.2030392546612643</v>
      </c>
      <c r="AK273">
        <f t="shared" si="237"/>
        <v>0.58948324255773588</v>
      </c>
      <c r="AL273" t="str">
        <f t="shared" si="217"/>
        <v>1-0,0455065852100677i</v>
      </c>
      <c r="AM273">
        <f t="shared" si="238"/>
        <v>1.0010348891509633</v>
      </c>
      <c r="AN273">
        <f t="shared" si="239"/>
        <v>-4.5475211755997863E-2</v>
      </c>
      <c r="AO273" s="58" t="str">
        <f t="shared" si="240"/>
        <v>1,23019094438234-1,69832935914865i</v>
      </c>
      <c r="AP273">
        <f t="shared" si="241"/>
        <v>6.4322484623707084</v>
      </c>
      <c r="AQ273" s="60">
        <f t="shared" si="242"/>
        <v>-54.082172438718722</v>
      </c>
      <c r="AR273" t="str">
        <f t="shared" si="218"/>
        <v>-1,05811623246493</v>
      </c>
      <c r="AS273" t="str">
        <f t="shared" si="219"/>
        <v>1+0,659176654463118i</v>
      </c>
      <c r="AT273">
        <f t="shared" si="243"/>
        <v>1.1977119277143351</v>
      </c>
      <c r="AU273">
        <f t="shared" si="244"/>
        <v>0.58279926972721319</v>
      </c>
      <c r="AV273" t="str">
        <f t="shared" si="220"/>
        <v>1+0,659176654463118i</v>
      </c>
      <c r="AW273">
        <f t="shared" si="245"/>
        <v>1.1977119277143351</v>
      </c>
      <c r="AX273">
        <f t="shared" si="246"/>
        <v>0.58279926972721319</v>
      </c>
      <c r="AY273" t="str">
        <f t="shared" si="221"/>
        <v>1-0,038615665895021i</v>
      </c>
      <c r="AZ273">
        <f t="shared" si="247"/>
        <v>1.0007453070849326</v>
      </c>
      <c r="BA273">
        <f t="shared" si="248"/>
        <v>-3.8596488880110705E-2</v>
      </c>
      <c r="BB273" s="58" t="str">
        <f t="shared" si="249"/>
        <v>-0,718837504604747+0,514700764298937i</v>
      </c>
      <c r="BC273">
        <f t="shared" si="250"/>
        <v>-1.0699087100840547</v>
      </c>
      <c r="BD273" s="60">
        <f t="shared" si="251"/>
        <v>144.39664562447027</v>
      </c>
      <c r="BE273" s="58" t="str">
        <f t="shared" si="252"/>
        <v>0,213304595674153+0,556128361471393i</v>
      </c>
      <c r="BF273" s="37">
        <f t="shared" si="253"/>
        <v>-4.5004380244104256</v>
      </c>
      <c r="BG273" s="60">
        <f t="shared" si="254"/>
        <v>69.015543401614082</v>
      </c>
      <c r="BH273" s="58" t="str">
        <f t="shared" si="255"/>
        <v>-0,0101759694620245+1,85400305783462i</v>
      </c>
      <c r="BI273" s="37">
        <f t="shared" si="256"/>
        <v>5.3623397522866734</v>
      </c>
      <c r="BJ273" s="60">
        <f t="shared" si="257"/>
        <v>90.314473185751552</v>
      </c>
      <c r="BK273">
        <f t="shared" si="258"/>
        <v>-4.5004380244104256</v>
      </c>
      <c r="BL273" s="60">
        <f t="shared" si="259"/>
        <v>69.015543401614082</v>
      </c>
      <c r="BN273">
        <f t="shared" si="260"/>
        <v>0</v>
      </c>
      <c r="BO273">
        <f t="shared" si="261"/>
        <v>0</v>
      </c>
    </row>
    <row r="274" spans="13:67" x14ac:dyDescent="0.25">
      <c r="M274" s="66">
        <v>56</v>
      </c>
      <c r="N274" s="36">
        <f t="shared" si="262"/>
        <v>3630.7805477010188</v>
      </c>
      <c r="O274" s="91" t="str">
        <f t="shared" si="210"/>
        <v>13,7404580152672</v>
      </c>
      <c r="P274" s="67" t="str">
        <f t="shared" si="211"/>
        <v>1+24,6378963501812i</v>
      </c>
      <c r="Q274" s="67">
        <f t="shared" si="222"/>
        <v>24.658181939515977</v>
      </c>
      <c r="R274" s="67">
        <f t="shared" si="223"/>
        <v>1.5302307118344833</v>
      </c>
      <c r="S274" s="67" t="str">
        <f t="shared" si="212"/>
        <v>1+0,684386009727256i</v>
      </c>
      <c r="T274" s="67">
        <f t="shared" si="224"/>
        <v>1.2117690416537286</v>
      </c>
      <c r="U274" s="67">
        <f t="shared" si="225"/>
        <v>0.60016973100707161</v>
      </c>
      <c r="V274" t="str">
        <f t="shared" si="213"/>
        <v>1-0,142580418693178i</v>
      </c>
      <c r="W274" s="67">
        <f t="shared" si="226"/>
        <v>1.0101134469923276</v>
      </c>
      <c r="X274" s="67">
        <f t="shared" si="227"/>
        <v>-0.14162585442345693</v>
      </c>
      <c r="Y274" t="str">
        <f t="shared" si="214"/>
        <v>0,999156315687324+0,247400608435756i</v>
      </c>
      <c r="Z274" s="67">
        <f t="shared" si="228"/>
        <v>1.029330075453083</v>
      </c>
      <c r="AA274" s="67">
        <f t="shared" si="229"/>
        <v>0.24272753033553338</v>
      </c>
      <c r="AB274" s="92" t="str">
        <f t="shared" si="230"/>
        <v>0,168033037108962-0,640977631248582i</v>
      </c>
      <c r="AC274" s="37">
        <f t="shared" si="231"/>
        <v>-3.5744900013508696</v>
      </c>
      <c r="AD274" s="60">
        <f t="shared" si="232"/>
        <v>-75.310395679466353</v>
      </c>
      <c r="AE274" t="str">
        <f t="shared" si="233"/>
        <v>21,0353732052265</v>
      </c>
      <c r="AF274" t="str">
        <f t="shared" si="215"/>
        <v>1+12,3189481750906i</v>
      </c>
      <c r="AG274">
        <f t="shared" si="234"/>
        <v>12.359469411773633</v>
      </c>
      <c r="AH274">
        <f t="shared" si="235"/>
        <v>1.4897981662343009</v>
      </c>
      <c r="AI274" t="str">
        <f t="shared" si="216"/>
        <v>1+0,684386009727256i</v>
      </c>
      <c r="AJ274">
        <f t="shared" si="236"/>
        <v>1.2117690416537286</v>
      </c>
      <c r="AK274">
        <f t="shared" si="237"/>
        <v>0.60016973100707161</v>
      </c>
      <c r="AL274" t="str">
        <f t="shared" si="217"/>
        <v>1-0,0465665697480894i</v>
      </c>
      <c r="AM274">
        <f t="shared" si="238"/>
        <v>1.0010836355760211</v>
      </c>
      <c r="AN274">
        <f t="shared" si="239"/>
        <v>-4.6532954451421971E-2</v>
      </c>
      <c r="AO274" s="58" t="str">
        <f t="shared" si="240"/>
        <v>1,22408063430883-1,66261593867225i</v>
      </c>
      <c r="AP274">
        <f t="shared" si="241"/>
        <v>6.2968121925527507</v>
      </c>
      <c r="AQ274" s="60">
        <f t="shared" si="242"/>
        <v>-53.638096571688827</v>
      </c>
      <c r="AR274" t="str">
        <f t="shared" si="218"/>
        <v>-1,05811623246493</v>
      </c>
      <c r="AS274" t="str">
        <f t="shared" si="219"/>
        <v>1+0,674530851187183i</v>
      </c>
      <c r="AT274">
        <f t="shared" si="243"/>
        <v>1.2062304378531101</v>
      </c>
      <c r="AU274">
        <f t="shared" si="244"/>
        <v>0.59342729598791433</v>
      </c>
      <c r="AV274" t="str">
        <f t="shared" si="220"/>
        <v>1+0,674530851187183i</v>
      </c>
      <c r="AW274">
        <f t="shared" si="245"/>
        <v>1.2062304378531101</v>
      </c>
      <c r="AX274">
        <f t="shared" si="246"/>
        <v>0.59342729598791433</v>
      </c>
      <c r="AY274" t="str">
        <f t="shared" si="221"/>
        <v>1-0,0377366660246083i</v>
      </c>
      <c r="AZ274">
        <f t="shared" si="247"/>
        <v>1.0007117746697363</v>
      </c>
      <c r="BA274">
        <f t="shared" si="248"/>
        <v>-3.7718768273140101E-2</v>
      </c>
      <c r="BB274" s="58" t="str">
        <f t="shared" si="249"/>
        <v>-0,708720362330336+0,517983528136116i</v>
      </c>
      <c r="BC274">
        <f t="shared" si="250"/>
        <v>-1.1317579287656838</v>
      </c>
      <c r="BD274" s="60">
        <f t="shared" si="251"/>
        <v>143.83799426154894</v>
      </c>
      <c r="BE274" s="58" t="str">
        <f t="shared" si="252"/>
        <v>0,212927419947141+0,541312244469263i</v>
      </c>
      <c r="BF274" s="37">
        <f t="shared" si="253"/>
        <v>-4.7062479301165459</v>
      </c>
      <c r="BG274" s="60">
        <f t="shared" si="254"/>
        <v>68.527598582082561</v>
      </c>
      <c r="BH274" s="58" t="str">
        <f t="shared" si="255"/>
        <v>-0,00632320082010907+1,81238337615437i</v>
      </c>
      <c r="BI274" s="37">
        <f t="shared" si="256"/>
        <v>5.1650542637870593</v>
      </c>
      <c r="BJ274" s="60">
        <f t="shared" si="257"/>
        <v>90.199897689860123</v>
      </c>
      <c r="BK274">
        <f t="shared" si="258"/>
        <v>-4.7062479301165459</v>
      </c>
      <c r="BL274" s="60">
        <f t="shared" si="259"/>
        <v>68.527598582082561</v>
      </c>
      <c r="BN274">
        <f t="shared" si="260"/>
        <v>0</v>
      </c>
      <c r="BO274">
        <f t="shared" si="261"/>
        <v>0</v>
      </c>
    </row>
    <row r="275" spans="13:67" x14ac:dyDescent="0.25">
      <c r="M275" s="66">
        <v>57</v>
      </c>
      <c r="N275" s="36">
        <f t="shared" si="262"/>
        <v>3715.352290971724</v>
      </c>
      <c r="O275" s="91" t="str">
        <f t="shared" ref="O275:O338" si="263">COMPLEX(adc,0)</f>
        <v>13,7404580152672</v>
      </c>
      <c r="P275" s="67" t="str">
        <f t="shared" ref="P275:P338" si="264">IMSUM(COMPLEX(1,0),IMDIV(COMPLEX(0,2*PI()*N275),COMPLEX(wp_lf,0)))</f>
        <v>1+25,21178667968i</v>
      </c>
      <c r="Q275" s="67">
        <f t="shared" si="222"/>
        <v>25.231610879642421</v>
      </c>
      <c r="R275" s="67">
        <f t="shared" si="223"/>
        <v>1.5311531195715775</v>
      </c>
      <c r="S275" s="67" t="str">
        <f t="shared" ref="S275:S338" si="265">IMSUM(COMPLEX(1,0),IMDIV(COMPLEX(0,2*PI()*N275),COMPLEX(wz_esr,0)))</f>
        <v>1+0,700327407768889i</v>
      </c>
      <c r="T275" s="67">
        <f t="shared" si="224"/>
        <v>1.2208433470647624</v>
      </c>
      <c r="U275" s="67">
        <f t="shared" si="225"/>
        <v>0.61094566734954547</v>
      </c>
      <c r="V275" t="str">
        <f t="shared" ref="V275:V338" si="266">IMSUB(COMPLEX(1,0),IMDIV(COMPLEX(0,2*PI()*N275),COMPLEX(wz_rhp,0)))</f>
        <v>1-0,145901543285185i</v>
      </c>
      <c r="W275" s="67">
        <f t="shared" si="226"/>
        <v>1.0105875817231273</v>
      </c>
      <c r="X275" s="67">
        <f t="shared" si="227"/>
        <v>-0.14487928710342229</v>
      </c>
      <c r="Y275" t="str">
        <f t="shared" ref="Y275:Y338" si="267">IMSUM(COMPLEX(1,0),IMDIV(COMPLEX(0,2*PI()*N275),COMPLEX(Q*(wsl/2),0)),IMDIV(IMPOWER(COMPLEX(0,2*PI()*N275),2),IMPOWER(COMPLEX(wsl/2,0),2)))</f>
        <v>0,999116554070654+0,253163308898304i</v>
      </c>
      <c r="Z275" s="67">
        <f t="shared" si="228"/>
        <v>1.030691782052402</v>
      </c>
      <c r="AA275" s="67">
        <f t="shared" si="229"/>
        <v>0.24816403155926101</v>
      </c>
      <c r="AB275" s="92" t="str">
        <f t="shared" si="230"/>
        <v>0,166036515781764-0,630370526704238i</v>
      </c>
      <c r="AC275" s="37">
        <f t="shared" si="231"/>
        <v>-3.7167736826373758</v>
      </c>
      <c r="AD275" s="60">
        <f t="shared" si="232"/>
        <v>-75.243726613996003</v>
      </c>
      <c r="AE275" t="str">
        <f t="shared" si="233"/>
        <v>21,0353732052265</v>
      </c>
      <c r="AF275" t="str">
        <f t="shared" ref="AF275:AF338" si="268">IMSUM(COMPLEX(1,0),IMDIV(COMPLEX(0,2*PI()*N275),COMPLEX(wp_lf_DCM,0)))</f>
        <v>1+12,60589333984i</v>
      </c>
      <c r="AG275">
        <f t="shared" si="234"/>
        <v>12.64549512258901</v>
      </c>
      <c r="AH275">
        <f t="shared" si="235"/>
        <v>1.4916341273946681</v>
      </c>
      <c r="AI275" t="str">
        <f t="shared" ref="AI275:AI338" si="269">IMSUM(COMPLEX(1,0),IMDIV(COMPLEX(0,2*PI()*N275),COMPLEX(wz1_dcm,0)))</f>
        <v>1+0,700327407768889i</v>
      </c>
      <c r="AJ275">
        <f t="shared" si="236"/>
        <v>1.2208433470647624</v>
      </c>
      <c r="AK275">
        <f t="shared" si="237"/>
        <v>0.61094566734954547</v>
      </c>
      <c r="AL275" t="str">
        <f t="shared" ref="AL275:AL338" si="270">IMSUB(COMPLEX(1,0),IMDIV(COMPLEX(0,2*PI()*N275),COMPLEX(wz2_dcm,0)))</f>
        <v>1-0,0476512444977728i</v>
      </c>
      <c r="AM275">
        <f t="shared" si="238"/>
        <v>1.0011346768053668</v>
      </c>
      <c r="AN275">
        <f t="shared" si="239"/>
        <v>-4.7615227262939923E-2</v>
      </c>
      <c r="AO275" s="58" t="str">
        <f t="shared" si="240"/>
        <v>1,21824181285741-1,62773967845059i</v>
      </c>
      <c r="AP275">
        <f t="shared" si="241"/>
        <v>6.1633365711899835</v>
      </c>
      <c r="AQ275" s="60">
        <f t="shared" si="242"/>
        <v>-53.187883389184073</v>
      </c>
      <c r="AR275" t="str">
        <f t="shared" ref="AR275:AR338" si="271">COMPLEX(adc_ea,0)</f>
        <v>-1,05811623246493</v>
      </c>
      <c r="AS275" t="str">
        <f t="shared" ref="AS275:AS338" si="272">IMSUM(COMPLEX(1,0), IMDIV(COMPLEX(0,2*PI()*N275), COMPLEX(wp0_ea,0)))</f>
        <v>1+0,690242693097016i</v>
      </c>
      <c r="AT275">
        <f t="shared" si="243"/>
        <v>1.2150864065463911</v>
      </c>
      <c r="AU275">
        <f t="shared" si="244"/>
        <v>0.6041473746795909</v>
      </c>
      <c r="AV275" t="str">
        <f t="shared" ref="AV275:AV338" si="273">IMSUM(COMPLEX(1,0),IMDIV(COMPLEX(0,2*PI()*N275),COMPLEX(wp1_ea,0)))</f>
        <v>1+0,690242693097016i</v>
      </c>
      <c r="AW275">
        <f t="shared" si="245"/>
        <v>1.2150864065463911</v>
      </c>
      <c r="AX275">
        <f t="shared" si="246"/>
        <v>0.6041473746795909</v>
      </c>
      <c r="AY275" t="str">
        <f t="shared" ref="AY275:AY338" si="274">IMSUM(COMPLEX(1,0),IMDIV(COMPLEX(wz_ea,0),COMPLEX(0,2*PI()*N275)))</f>
        <v>1-0,0368776746340257i</v>
      </c>
      <c r="AZ275">
        <f t="shared" si="247"/>
        <v>1.0006797504128946</v>
      </c>
      <c r="BA275">
        <f t="shared" si="248"/>
        <v>-3.6860970838887119E-2</v>
      </c>
      <c r="BB275" s="58" t="str">
        <f t="shared" si="249"/>
        <v>-0,698427212799109+0,521105146440522i</v>
      </c>
      <c r="BC275">
        <f t="shared" si="250"/>
        <v>-1.1955734773040965</v>
      </c>
      <c r="BD275" s="60">
        <f t="shared" si="251"/>
        <v>143.27292716912763</v>
      </c>
      <c r="BE275" s="58" t="str">
        <f t="shared" si="252"/>
        <v>0,212524904689668+0,526790412867677i</v>
      </c>
      <c r="BF275" s="37">
        <f t="shared" si="253"/>
        <v>-4.9123471599414792</v>
      </c>
      <c r="BG275" s="60">
        <f t="shared" si="254"/>
        <v>68.029200555131624</v>
      </c>
      <c r="BH275" s="58" t="str">
        <f t="shared" si="255"/>
        <v>-0,00262971036329185+1,77168976507179i</v>
      </c>
      <c r="BI275" s="37">
        <f t="shared" si="256"/>
        <v>4.9677630938858828</v>
      </c>
      <c r="BJ275" s="60">
        <f t="shared" si="257"/>
        <v>90.085043779943547</v>
      </c>
      <c r="BK275">
        <f t="shared" si="258"/>
        <v>-4.9123471599414792</v>
      </c>
      <c r="BL275" s="60">
        <f t="shared" si="259"/>
        <v>68.029200555131624</v>
      </c>
      <c r="BN275">
        <f t="shared" si="260"/>
        <v>0</v>
      </c>
      <c r="BO275">
        <f t="shared" si="261"/>
        <v>0</v>
      </c>
    </row>
    <row r="276" spans="13:67" x14ac:dyDescent="0.25">
      <c r="M276" s="66">
        <v>58</v>
      </c>
      <c r="N276" s="36">
        <f t="shared" si="262"/>
        <v>3801.8939632056172</v>
      </c>
      <c r="O276" s="91" t="str">
        <f t="shared" si="263"/>
        <v>13,7404580152672</v>
      </c>
      <c r="P276" s="67" t="str">
        <f t="shared" si="264"/>
        <v>1+25,7990446321938i</v>
      </c>
      <c r="Q276" s="67">
        <f t="shared" ref="Q276:Q339" si="275">IMABS(P276)</f>
        <v>25.818417920816294</v>
      </c>
      <c r="R276" s="67">
        <f t="shared" ref="R276:R339" si="276">IMARGUMENT(P276)</f>
        <v>1.5320545959693936</v>
      </c>
      <c r="S276" s="67" t="str">
        <f t="shared" si="265"/>
        <v>1+0,71664012867205i</v>
      </c>
      <c r="T276" s="67">
        <f t="shared" ref="T276:T339" si="277">IMABS(S276)</f>
        <v>1.2302735769019393</v>
      </c>
      <c r="U276" s="67">
        <f t="shared" ref="U276:U339" si="278">IMARGUMENT(S276)</f>
        <v>0.62180675470872004</v>
      </c>
      <c r="V276" t="str">
        <f t="shared" si="266"/>
        <v>1-0,149300026806677i</v>
      </c>
      <c r="W276" s="67">
        <f t="shared" ref="W276:W339" si="279">IMABS(V276)</f>
        <v>1.0110838234313091</v>
      </c>
      <c r="X276" s="67">
        <f t="shared" ref="X276:X339" si="280">IMARGUMENT(V276)</f>
        <v>-0.14820530705354454</v>
      </c>
      <c r="Y276" t="str">
        <f t="shared" si="267"/>
        <v>0,999074918546723+0,259060239898242i</v>
      </c>
      <c r="Z276" s="67">
        <f t="shared" ref="Z276:Z339" si="281">IMABS(Y276)</f>
        <v>1.0321157400046159</v>
      </c>
      <c r="AA276" s="67">
        <f t="shared" ref="AA276:AA339" si="282">IMARGUMENT(Y276)</f>
        <v>0.25371237703380184</v>
      </c>
      <c r="AB276" s="92" t="str">
        <f t="shared" ref="AB276:AB339" si="283">(IMDIV(IMPRODUCT(O276,S276,V276),IMPRODUCT(P276,Y276)))</f>
        <v>0,164043789426429-0,620072124551318i</v>
      </c>
      <c r="AC276" s="37">
        <f t="shared" ref="AC276:AC339" si="284">20*LOG(IMABS(AB276))</f>
        <v>-3.8573591902626521</v>
      </c>
      <c r="AD276" s="60">
        <f t="shared" ref="AD276:AD339" si="285">(180/PI())*IMARGUMENT(AB276)</f>
        <v>-75.181546625007996</v>
      </c>
      <c r="AE276" t="str">
        <f t="shared" ref="AE276:AE339" si="286">COMPLEX($B$67,0)</f>
        <v>21,0353732052265</v>
      </c>
      <c r="AF276" t="str">
        <f t="shared" si="268"/>
        <v>1+12,8995223160969i</v>
      </c>
      <c r="AG276">
        <f t="shared" ref="AG276:AG339" si="287">IMABS(AF276)</f>
        <v>12.938225379992495</v>
      </c>
      <c r="AH276">
        <f t="shared" ref="AH276:AH339" si="288">IMARGUMENT(AF276)</f>
        <v>1.4934288138845353</v>
      </c>
      <c r="AI276" t="str">
        <f t="shared" si="269"/>
        <v>1+0,71664012867205i</v>
      </c>
      <c r="AJ276">
        <f t="shared" ref="AJ276:AJ339" si="289">IMABS(AI276)</f>
        <v>1.2302735769019393</v>
      </c>
      <c r="AK276">
        <f t="shared" ref="AK276:AK339" si="290">IMARGUMENT(AI276)</f>
        <v>0.62180675470872004</v>
      </c>
      <c r="AL276" t="str">
        <f t="shared" si="270"/>
        <v>1-0,0487611845680278i</v>
      </c>
      <c r="AM276">
        <f t="shared" ref="AM276:AM339" si="291">IMABS(AL276)</f>
        <v>1.0011881207447866</v>
      </c>
      <c r="AN276">
        <f t="shared" ref="AN276:AN339" si="292">IMARGUMENT(AL276)</f>
        <v>-4.8722593878701217E-2</v>
      </c>
      <c r="AO276" s="58" t="str">
        <f t="shared" ref="AO276:AO339" si="293">(IMDIV(IMPRODUCT(AE276,AI276,AL276),IMPRODUCT(AF276)))</f>
        <v>1,21266256796306-1,59368501219423i</v>
      </c>
      <c r="AP276">
        <f t="shared" ref="AP276:AP339" si="294">20*LOG(IMABS(AO276))</f>
        <v>6.0318578802470491</v>
      </c>
      <c r="AQ276" s="60">
        <f t="shared" ref="AQ276:AQ339" si="295">(180/PI())*IMARGUMENT(AO276)</f>
        <v>-52.731864317455916</v>
      </c>
      <c r="AR276" t="str">
        <f t="shared" si="271"/>
        <v>-1,05811623246493</v>
      </c>
      <c r="AS276" t="str">
        <f t="shared" si="272"/>
        <v>1+0,706320510819172i</v>
      </c>
      <c r="AT276">
        <f t="shared" ref="AT276:AT339" si="296">IMABS(AS276)</f>
        <v>1.2242910863041747</v>
      </c>
      <c r="AU276">
        <f t="shared" ref="AU276:AU339" si="297">IMARGUMENT(AS276)</f>
        <v>0.61495533411334802</v>
      </c>
      <c r="AV276" t="str">
        <f t="shared" si="273"/>
        <v>1+0,706320510819172i</v>
      </c>
      <c r="AW276">
        <f t="shared" ref="AW276:AW339" si="298">IMABS(AV276)</f>
        <v>1.2242910863041747</v>
      </c>
      <c r="AX276">
        <f t="shared" ref="AX276:AX339" si="299">IMARGUMENT(AV276)</f>
        <v>0.61495533411334802</v>
      </c>
      <c r="AY276" t="str">
        <f t="shared" si="274"/>
        <v>1-0,0360382362746679i</v>
      </c>
      <c r="AZ276">
        <f t="shared" ref="AZ276:AZ339" si="300">IMABS(AY276)</f>
        <v>1.0006491665283037</v>
      </c>
      <c r="BA276">
        <f t="shared" ref="BA276:BA339" si="301">IMARGUMENT(AY276)</f>
        <v>-3.6022646814131871E-2</v>
      </c>
      <c r="BB276" s="58" t="str">
        <f t="shared" ref="BB276:BB339" si="302">IMDIV(IMPRODUCT(AR276,AY276), AS276)</f>
        <v>-0,687964616381145+0,524056162059478i</v>
      </c>
      <c r="BC276">
        <f t="shared" ref="BC276:BC339" si="303">20*LOG(IMABS(BB276))</f>
        <v>-1.2613894531040888</v>
      </c>
      <c r="BD276" s="60">
        <f t="shared" ref="BD276:BD339" si="304">(180/PI())*IMARGUMENT(BB276)</f>
        <v>142.70170913690762</v>
      </c>
      <c r="BE276" s="58" t="str">
        <f t="shared" ref="BE276:BE339" si="305">IMPRODUCT(AB276,BB276)</f>
        <v>0,212096295129968+0,512555839992097i</v>
      </c>
      <c r="BF276" s="37">
        <f t="shared" ref="BF276:BF339" si="306">20*LOG(IMABS(BE276))</f>
        <v>-5.1187486433667351</v>
      </c>
      <c r="BG276" s="60">
        <f t="shared" ref="BG276:BG339" si="307">(180/PI())*IMARGUMENT(BE276)</f>
        <v>67.520162511899642</v>
      </c>
      <c r="BH276" s="58" t="str">
        <f t="shared" ref="BH276:BH339" si="308">IMPRODUCT(AO276,BB276)</f>
        <v>0,000911512653739788+1,7319021892865i</v>
      </c>
      <c r="BI276" s="37">
        <f t="shared" ref="BI276:BI339" si="309">20*LOG(IMABS(BH276))</f>
        <v>4.7704684271429807</v>
      </c>
      <c r="BJ276" s="60">
        <f t="shared" ref="BJ276:BJ339" si="310">(180/PI())*IMARGUMENT(BH276)</f>
        <v>89.969844819451723</v>
      </c>
      <c r="BK276">
        <f t="shared" ref="BK276:BK339" si="311">IF($B$19=0,BF276,BI276)</f>
        <v>-5.1187486433667351</v>
      </c>
      <c r="BL276" s="60">
        <f t="shared" ref="BL276:BL339" si="312">IF($B$19=0,BG276,BJ276)</f>
        <v>67.520162511899642</v>
      </c>
      <c r="BN276">
        <f t="shared" si="260"/>
        <v>0</v>
      </c>
      <c r="BO276">
        <f t="shared" si="261"/>
        <v>0</v>
      </c>
    </row>
    <row r="277" spans="13:67" x14ac:dyDescent="0.25">
      <c r="M277" s="66">
        <v>59</v>
      </c>
      <c r="N277" s="36">
        <f t="shared" si="262"/>
        <v>3890.451449942811</v>
      </c>
      <c r="O277" s="91" t="str">
        <f t="shared" si="263"/>
        <v>13,7404580152672</v>
      </c>
      <c r="P277" s="67" t="str">
        <f t="shared" si="264"/>
        <v>1+26,3999815796623i</v>
      </c>
      <c r="Q277" s="67">
        <f t="shared" si="275"/>
        <v>26.41891419809884</v>
      </c>
      <c r="R277" s="67">
        <f t="shared" si="276"/>
        <v>1.5329356131385583</v>
      </c>
      <c r="S277" s="67" t="str">
        <f t="shared" si="265"/>
        <v>1+0,733332821657287i</v>
      </c>
      <c r="T277" s="67">
        <f t="shared" si="277"/>
        <v>1.2400713799293321</v>
      </c>
      <c r="U277" s="67">
        <f t="shared" si="278"/>
        <v>0.63274850226478863</v>
      </c>
      <c r="V277" t="str">
        <f t="shared" si="266"/>
        <v>1-0,152777671178601i</v>
      </c>
      <c r="W277" s="67">
        <f t="shared" si="279"/>
        <v>1.0116031913802748</v>
      </c>
      <c r="X277" s="67">
        <f t="shared" si="280"/>
        <v>-0.15160538327047995</v>
      </c>
      <c r="Y277" t="str">
        <f t="shared" si="267"/>
        <v>0,999031320801001+0,265094528066442i</v>
      </c>
      <c r="Z277" s="67">
        <f t="shared" si="281"/>
        <v>1.0336047062354941</v>
      </c>
      <c r="AA277" s="67">
        <f t="shared" si="282"/>
        <v>0.25937420160175478</v>
      </c>
      <c r="AB277" s="92" t="str">
        <f t="shared" si="283"/>
        <v>0,162051392520011-0,610075826629566i</v>
      </c>
      <c r="AC277" s="37">
        <f t="shared" si="284"/>
        <v>-3.9962271579940478</v>
      </c>
      <c r="AD277" s="60">
        <f t="shared" si="285"/>
        <v>-75.124317904359756</v>
      </c>
      <c r="AE277" t="str">
        <f t="shared" si="286"/>
        <v>21,0353732052265</v>
      </c>
      <c r="AF277" t="str">
        <f t="shared" si="268"/>
        <v>1+13,1999907898312i</v>
      </c>
      <c r="AG277">
        <f t="shared" si="287"/>
        <v>13.237815410845872</v>
      </c>
      <c r="AH277">
        <f t="shared" si="288"/>
        <v>1.4951831310005732</v>
      </c>
      <c r="AI277" t="str">
        <f t="shared" si="269"/>
        <v>1+0,733332821657287i</v>
      </c>
      <c r="AJ277">
        <f t="shared" si="289"/>
        <v>1.2400713799293321</v>
      </c>
      <c r="AK277">
        <f t="shared" si="290"/>
        <v>0.63274850226478863</v>
      </c>
      <c r="AL277" t="str">
        <f t="shared" si="270"/>
        <v>1-0,0498969784637713i</v>
      </c>
      <c r="AM277">
        <f t="shared" si="291"/>
        <v>1.0012440803619336</v>
      </c>
      <c r="AN277">
        <f t="shared" si="292"/>
        <v>-4.9855630569606367E-2</v>
      </c>
      <c r="AO277" s="58" t="str">
        <f t="shared" si="293"/>
        <v>1,20733149704884-1,56043661791353i</v>
      </c>
      <c r="AP277">
        <f t="shared" si="294"/>
        <v>5.902410928484743</v>
      </c>
      <c r="AQ277" s="60">
        <f t="shared" si="295"/>
        <v>-52.270381549094317</v>
      </c>
      <c r="AR277" t="str">
        <f t="shared" si="271"/>
        <v>-1,05811623246493</v>
      </c>
      <c r="AS277" t="str">
        <f t="shared" si="272"/>
        <v>1+0,722772829025422i</v>
      </c>
      <c r="AT277">
        <f t="shared" si="296"/>
        <v>1.2338559731092653</v>
      </c>
      <c r="AU277">
        <f t="shared" si="297"/>
        <v>0.62584680491665823</v>
      </c>
      <c r="AV277" t="str">
        <f t="shared" si="273"/>
        <v>1+0,722772829025422i</v>
      </c>
      <c r="AW277">
        <f t="shared" si="298"/>
        <v>1.2338559731092653</v>
      </c>
      <c r="AX277">
        <f t="shared" si="299"/>
        <v>0.62584680491665823</v>
      </c>
      <c r="AY277" t="str">
        <f t="shared" si="274"/>
        <v>1-0,0352179058652053i</v>
      </c>
      <c r="AZ277">
        <f t="shared" si="300"/>
        <v>1.0006199582726354</v>
      </c>
      <c r="BA277">
        <f t="shared" si="301"/>
        <v>-3.5203356424377878E-2</v>
      </c>
      <c r="BB277" s="58" t="str">
        <f t="shared" si="302"/>
        <v>-0,677339716111996+0,526827380694939i</v>
      </c>
      <c r="BC277">
        <f t="shared" si="303"/>
        <v>-1.3292385982502462</v>
      </c>
      <c r="BD277" s="60">
        <f t="shared" si="304"/>
        <v>142.1246157087165</v>
      </c>
      <c r="BE277" s="58" t="str">
        <f t="shared" si="305"/>
        <v>0,211640805563496+0,498601697875346i</v>
      </c>
      <c r="BF277" s="37">
        <f t="shared" si="306"/>
        <v>-5.3254657562442995</v>
      </c>
      <c r="BG277" s="60">
        <f t="shared" si="307"/>
        <v>67.000297804356748</v>
      </c>
      <c r="BH277" s="58" t="str">
        <f t="shared" si="308"/>
        <v>0,00430716269172193+1,69300098600905i</v>
      </c>
      <c r="BI277" s="37">
        <f t="shared" si="309"/>
        <v>4.5731723302344802</v>
      </c>
      <c r="BJ277" s="60">
        <f t="shared" si="310"/>
        <v>89.854234159622195</v>
      </c>
      <c r="BK277">
        <f t="shared" si="311"/>
        <v>-5.3254657562442995</v>
      </c>
      <c r="BL277" s="60">
        <f t="shared" si="312"/>
        <v>67.000297804356748</v>
      </c>
      <c r="BN277">
        <f t="shared" ref="BN277:BN340" si="313">SUM((BK278&lt;0)*(BK277&gt;0))*N277</f>
        <v>0</v>
      </c>
      <c r="BO277">
        <f t="shared" ref="BO277:BO340" si="314">IF(BN277&gt;0,BL277,0)</f>
        <v>0</v>
      </c>
    </row>
    <row r="278" spans="13:67" x14ac:dyDescent="0.25">
      <c r="M278" s="66">
        <v>60</v>
      </c>
      <c r="N278" s="36">
        <f t="shared" si="262"/>
        <v>3981.0717055349769</v>
      </c>
      <c r="O278" s="91" t="str">
        <f t="shared" si="263"/>
        <v>13,7404580152672</v>
      </c>
      <c r="P278" s="67" t="str">
        <f t="shared" si="264"/>
        <v>1+27,0149161468094i</v>
      </c>
      <c r="Q278" s="67">
        <f t="shared" si="275"/>
        <v>27.03341810461902</v>
      </c>
      <c r="R278" s="67">
        <f t="shared" si="276"/>
        <v>1.5337966327322126</v>
      </c>
      <c r="S278" s="67" t="str">
        <f t="shared" si="265"/>
        <v>1+0,750414337411372i</v>
      </c>
      <c r="T278" s="67">
        <f t="shared" si="277"/>
        <v>1.2502486463870091</v>
      </c>
      <c r="U278" s="67">
        <f t="shared" si="278"/>
        <v>0.64376623200212657</v>
      </c>
      <c r="V278" t="str">
        <f t="shared" si="266"/>
        <v>1-0,156336320294036i</v>
      </c>
      <c r="W278" s="67">
        <f t="shared" si="279"/>
        <v>1.0121467507447126</v>
      </c>
      <c r="X278" s="67">
        <f t="shared" si="280"/>
        <v>-0.15508100390403692</v>
      </c>
      <c r="Y278" t="str">
        <f t="shared" si="267"/>
        <v>0,998985668356825+0,271269372862363i</v>
      </c>
      <c r="Z278" s="67">
        <f t="shared" si="281"/>
        <v>1.0351615517567643</v>
      </c>
      <c r="AA278" s="67">
        <f t="shared" si="282"/>
        <v>0.26515111861272128</v>
      </c>
      <c r="AB278" s="92" t="str">
        <f t="shared" si="283"/>
        <v>0,160055921096546-0,600375101986509i</v>
      </c>
      <c r="AC278" s="37">
        <f t="shared" si="284"/>
        <v>-4.1333601315988595</v>
      </c>
      <c r="AD278" s="60">
        <f t="shared" si="285"/>
        <v>-75.072512636206142</v>
      </c>
      <c r="AE278" t="str">
        <f t="shared" si="286"/>
        <v>21,0353732052265</v>
      </c>
      <c r="AF278" t="str">
        <f t="shared" si="268"/>
        <v>1+13,5074580734047i</v>
      </c>
      <c r="AG278">
        <f t="shared" si="287"/>
        <v>13.544424078002942</v>
      </c>
      <c r="AH278">
        <f t="shared" si="288"/>
        <v>1.4968979656876964</v>
      </c>
      <c r="AI278" t="str">
        <f t="shared" si="269"/>
        <v>1+0,750414337411372i</v>
      </c>
      <c r="AJ278">
        <f t="shared" si="289"/>
        <v>1.2502486463870091</v>
      </c>
      <c r="AK278">
        <f t="shared" si="290"/>
        <v>0.64376623200212657</v>
      </c>
      <c r="AL278" t="str">
        <f t="shared" si="270"/>
        <v>1-0,0510592283979607i</v>
      </c>
      <c r="AM278">
        <f t="shared" si="291"/>
        <v>1.0013026739226232</v>
      </c>
      <c r="AN278">
        <f t="shared" si="292"/>
        <v>-5.1014926443608319E-2</v>
      </c>
      <c r="AO278" s="58" t="str">
        <f t="shared" si="293"/>
        <v>1,20223768639294-1,5279794221407i</v>
      </c>
      <c r="AP278">
        <f t="shared" si="294"/>
        <v>5.7750289477850147</v>
      </c>
      <c r="AQ278" s="60">
        <f t="shared" si="295"/>
        <v>-51.803787686251113</v>
      </c>
      <c r="AR278" t="str">
        <f t="shared" si="271"/>
        <v>-1,05811623246493</v>
      </c>
      <c r="AS278" t="str">
        <f t="shared" si="272"/>
        <v>1+0,739608370952648i</v>
      </c>
      <c r="AT278">
        <f t="shared" si="296"/>
        <v>1.2437928052466092</v>
      </c>
      <c r="AU278">
        <f t="shared" si="297"/>
        <v>0.63681722615493885</v>
      </c>
      <c r="AV278" t="str">
        <f t="shared" si="273"/>
        <v>1+0,739608370952648i</v>
      </c>
      <c r="AW278">
        <f t="shared" si="298"/>
        <v>1.2437928052466092</v>
      </c>
      <c r="AX278">
        <f t="shared" si="299"/>
        <v>0.63681722615493885</v>
      </c>
      <c r="AY278" t="str">
        <f t="shared" si="274"/>
        <v>1-0,0344162484555967i</v>
      </c>
      <c r="AZ278">
        <f t="shared" si="300"/>
        <v>1.0005920638091017</v>
      </c>
      <c r="BA278">
        <f t="shared" si="301"/>
        <v>-3.4402669673031426E-2</v>
      </c>
      <c r="BB278" s="58" t="str">
        <f t="shared" si="302"/>
        <v>-0,666560227533174+0,52940991517905i</v>
      </c>
      <c r="BC278">
        <f t="shared" si="303"/>
        <v>-1.3991521885903058</v>
      </c>
      <c r="BD278" s="60">
        <f t="shared" si="304"/>
        <v>141.54193284384652</v>
      </c>
      <c r="BE278" s="58" t="str">
        <f t="shared" si="305"/>
        <v>0,211157620634146+0,484921356197007i</v>
      </c>
      <c r="BF278" s="37">
        <f t="shared" si="306"/>
        <v>-5.5325123201891655</v>
      </c>
      <c r="BG278" s="60">
        <f t="shared" si="307"/>
        <v>66.469420207640368</v>
      </c>
      <c r="BH278" s="58" t="str">
        <f t="shared" si="308"/>
        <v>0,00756363047980702+1,65496686286646i</v>
      </c>
      <c r="BI278" s="37">
        <f t="shared" si="309"/>
        <v>4.3758767591947274</v>
      </c>
      <c r="BJ278" s="60">
        <f t="shared" si="310"/>
        <v>89.73814515759544</v>
      </c>
      <c r="BK278">
        <f t="shared" si="311"/>
        <v>-5.5325123201891655</v>
      </c>
      <c r="BL278" s="60">
        <f t="shared" si="312"/>
        <v>66.469420207640368</v>
      </c>
      <c r="BN278">
        <f t="shared" si="313"/>
        <v>0</v>
      </c>
      <c r="BO278">
        <f t="shared" si="314"/>
        <v>0</v>
      </c>
    </row>
    <row r="279" spans="13:67" x14ac:dyDescent="0.25">
      <c r="M279" s="66">
        <v>61</v>
      </c>
      <c r="N279" s="36">
        <f t="shared" si="262"/>
        <v>4073.8027780411317</v>
      </c>
      <c r="O279" s="91" t="str">
        <f t="shared" si="263"/>
        <v>13,7404580152672</v>
      </c>
      <c r="P279" s="67" t="str">
        <f t="shared" si="264"/>
        <v>1+27,6441743800822i</v>
      </c>
      <c r="Q279" s="67">
        <f t="shared" si="275"/>
        <v>27.662255460399344</v>
      </c>
      <c r="R279" s="67">
        <f t="shared" si="276"/>
        <v>1.5346381061648589</v>
      </c>
      <c r="S279" s="67" t="str">
        <f t="shared" si="265"/>
        <v>1+0,767893732780063i</v>
      </c>
      <c r="T279" s="67">
        <f t="shared" si="277"/>
        <v>1.2608175065579075</v>
      </c>
      <c r="U279" s="67">
        <f t="shared" si="278"/>
        <v>0.65485508644540102</v>
      </c>
      <c r="V279" t="str">
        <f t="shared" si="266"/>
        <v>1-0,159977860995846i</v>
      </c>
      <c r="W279" s="67">
        <f t="shared" si="279"/>
        <v>1.012715614577363</v>
      </c>
      <c r="X279" s="67">
        <f t="shared" si="280"/>
        <v>-0.15863367571934306</v>
      </c>
      <c r="Y279" t="str">
        <f t="shared" si="267"/>
        <v>0,99893786437924+0,277588048270452i</v>
      </c>
      <c r="Z279" s="67">
        <f t="shared" si="281"/>
        <v>1.0367892656818722</v>
      </c>
      <c r="AA279" s="67">
        <f t="shared" si="282"/>
        <v>0.27104471622749943</v>
      </c>
      <c r="AB279" s="92" t="str">
        <f t="shared" si="283"/>
        <v>0,158054030495904-0,590963481147953i</v>
      </c>
      <c r="AC279" s="37">
        <f t="shared" si="284"/>
        <v>-4.2687426752257505</v>
      </c>
      <c r="AD279" s="60">
        <f t="shared" si="285"/>
        <v>-75.026612323721963</v>
      </c>
      <c r="AE279" t="str">
        <f t="shared" si="286"/>
        <v>21,0353732052265</v>
      </c>
      <c r="AF279" t="str">
        <f t="shared" si="268"/>
        <v>1+13,8220871900411i</v>
      </c>
      <c r="AG279">
        <f t="shared" si="287"/>
        <v>13.858213964616736</v>
      </c>
      <c r="AH279">
        <f t="shared" si="288"/>
        <v>1.4985741868094338</v>
      </c>
      <c r="AI279" t="str">
        <f t="shared" si="269"/>
        <v>1+0,767893732780063i</v>
      </c>
      <c r="AJ279">
        <f t="shared" si="289"/>
        <v>1.2608175065579075</v>
      </c>
      <c r="AK279">
        <f t="shared" si="290"/>
        <v>0.65485508644540102</v>
      </c>
      <c r="AL279" t="str">
        <f t="shared" si="270"/>
        <v>1-0,0522485506108958i</v>
      </c>
      <c r="AM279">
        <f t="shared" si="291"/>
        <v>1.0013640252380447</v>
      </c>
      <c r="AN279">
        <f t="shared" si="292"/>
        <v>-5.2201083703205559E-2</v>
      </c>
      <c r="AO279" s="58" t="str">
        <f t="shared" si="293"/>
        <v>1,19737069122816-1,49629860350477i</v>
      </c>
      <c r="AP279">
        <f t="shared" si="294"/>
        <v>5.6497434922016723</v>
      </c>
      <c r="AQ279" s="60">
        <f t="shared" si="295"/>
        <v>-51.332445327636812</v>
      </c>
      <c r="AR279" t="str">
        <f t="shared" si="271"/>
        <v>-1,05811623246493</v>
      </c>
      <c r="AS279" t="str">
        <f t="shared" si="272"/>
        <v>1+0,75683606302803i</v>
      </c>
      <c r="AT279">
        <f t="shared" si="296"/>
        <v>1.2541135619630976</v>
      </c>
      <c r="AU279">
        <f t="shared" si="297"/>
        <v>0.64786185244602779</v>
      </c>
      <c r="AV279" t="str">
        <f t="shared" si="273"/>
        <v>1+0,75683606302803i</v>
      </c>
      <c r="AW279">
        <f t="shared" si="298"/>
        <v>1.2541135619630976</v>
      </c>
      <c r="AX279">
        <f t="shared" si="299"/>
        <v>0.64786185244602779</v>
      </c>
      <c r="AY279" t="str">
        <f t="shared" si="274"/>
        <v>1-0,033632838996472i</v>
      </c>
      <c r="AZ279">
        <f t="shared" si="300"/>
        <v>1.0005654240772877</v>
      </c>
      <c r="BA279">
        <f t="shared" si="301"/>
        <v>-3.362016613428187E-2</v>
      </c>
      <c r="BB279" s="58" t="str">
        <f t="shared" si="302"/>
        <v>-0,655634424579658+0,531795229570563i</v>
      </c>
      <c r="BC279">
        <f t="shared" si="303"/>
        <v>-1.4711599251198164</v>
      </c>
      <c r="BD279" s="60">
        <f t="shared" si="304"/>
        <v>140.9539565212923</v>
      </c>
      <c r="BE279" s="58" t="str">
        <f t="shared" si="305"/>
        <v>0,210645896788217+0,471508381342152i</v>
      </c>
      <c r="BF279" s="37">
        <f t="shared" si="306"/>
        <v>-5.7399026003455669</v>
      </c>
      <c r="BG279" s="60">
        <f t="shared" si="307"/>
        <v>65.927344197570349</v>
      </c>
      <c r="BH279" s="58" t="str">
        <f t="shared" si="308"/>
        <v>0,0106870152050099+1,61778089553094i</v>
      </c>
      <c r="BI279" s="37">
        <f t="shared" si="309"/>
        <v>4.1785835670818621</v>
      </c>
      <c r="BJ279" s="60">
        <f t="shared" si="310"/>
        <v>89.621511193655479</v>
      </c>
      <c r="BK279">
        <f t="shared" si="311"/>
        <v>-5.7399026003455669</v>
      </c>
      <c r="BL279" s="60">
        <f t="shared" si="312"/>
        <v>65.927344197570349</v>
      </c>
      <c r="BN279">
        <f t="shared" si="313"/>
        <v>0</v>
      </c>
      <c r="BO279">
        <f t="shared" si="314"/>
        <v>0</v>
      </c>
    </row>
    <row r="280" spans="13:67" x14ac:dyDescent="0.25">
      <c r="M280" s="66">
        <v>62</v>
      </c>
      <c r="N280" s="36">
        <f t="shared" si="262"/>
        <v>4168.6938347033583</v>
      </c>
      <c r="O280" s="91" t="str">
        <f t="shared" si="263"/>
        <v>13,7404580152672</v>
      </c>
      <c r="P280" s="67" t="str">
        <f t="shared" si="264"/>
        <v>1+28,2880899205254i</v>
      </c>
      <c r="Q280" s="67">
        <f t="shared" si="275"/>
        <v>28.305759685119401</v>
      </c>
      <c r="R280" s="67">
        <f t="shared" si="276"/>
        <v>1.5354604748275011</v>
      </c>
      <c r="S280" s="67" t="str">
        <f t="shared" si="265"/>
        <v>1+0,78578027557015i</v>
      </c>
      <c r="T280" s="67">
        <f t="shared" si="277"/>
        <v>1.2717903292111876</v>
      </c>
      <c r="U280" s="67">
        <f t="shared" si="278"/>
        <v>0.66601003737000841</v>
      </c>
      <c r="V280" t="str">
        <f t="shared" si="266"/>
        <v>1-0,163704224077114i</v>
      </c>
      <c r="W280" s="67">
        <f t="shared" si="279"/>
        <v>1.0133109458506258</v>
      </c>
      <c r="X280" s="67">
        <f t="shared" si="280"/>
        <v>-0.16226492348686802</v>
      </c>
      <c r="Y280" t="str">
        <f t="shared" si="267"/>
        <v>0,9988878074696+0,284053904536045i</v>
      </c>
      <c r="Z280" s="67">
        <f t="shared" si="281"/>
        <v>1.0384909593220335</v>
      </c>
      <c r="AA280" s="67">
        <f t="shared" si="282"/>
        <v>0.27705655351671082</v>
      </c>
      <c r="AB280" s="92" t="str">
        <f t="shared" si="283"/>
        <v>0,156042433540197-0,581834550325118i</v>
      </c>
      <c r="AC280" s="37">
        <f t="shared" si="284"/>
        <v>-4.402361472959905</v>
      </c>
      <c r="AD280" s="60">
        <f t="shared" si="285"/>
        <v>-74.987107043876151</v>
      </c>
      <c r="AE280" t="str">
        <f t="shared" si="286"/>
        <v>21,0353732052265</v>
      </c>
      <c r="AF280" t="str">
        <f t="shared" si="268"/>
        <v>1+14,1440449602627i</v>
      </c>
      <c r="AG280">
        <f t="shared" si="287"/>
        <v>14.17935146041358</v>
      </c>
      <c r="AH280">
        <f t="shared" si="288"/>
        <v>1.5002126454216362</v>
      </c>
      <c r="AI280" t="str">
        <f t="shared" si="269"/>
        <v>1+0,78578027557015i</v>
      </c>
      <c r="AJ280">
        <f t="shared" si="289"/>
        <v>1.2717903292111876</v>
      </c>
      <c r="AK280">
        <f t="shared" si="290"/>
        <v>0.66601003737000841</v>
      </c>
      <c r="AL280" t="str">
        <f t="shared" si="270"/>
        <v>1-0,053465575696956i</v>
      </c>
      <c r="AM280">
        <f t="shared" si="291"/>
        <v>1.001428263923386</v>
      </c>
      <c r="AN280">
        <f t="shared" si="292"/>
        <v>-5.3414717906008741E-2</v>
      </c>
      <c r="AO280" s="58" t="str">
        <f t="shared" si="293"/>
        <v>1,19272051655735-1,46537959570874i</v>
      </c>
      <c r="AP280">
        <f t="shared" si="294"/>
        <v>5.5265843405242698</v>
      </c>
      <c r="AQ280" s="60">
        <f t="shared" si="295"/>
        <v>-50.856726600060192</v>
      </c>
      <c r="AR280" t="str">
        <f t="shared" si="271"/>
        <v>-1,05811623246493</v>
      </c>
      <c r="AS280" t="str">
        <f t="shared" si="272"/>
        <v>1+0,774465039601939i</v>
      </c>
      <c r="AT280">
        <f t="shared" si="296"/>
        <v>1.2648304619851756</v>
      </c>
      <c r="AU280">
        <f t="shared" si="297"/>
        <v>0.65897576205898967</v>
      </c>
      <c r="AV280" t="str">
        <f t="shared" si="273"/>
        <v>1+0,774465039601939i</v>
      </c>
      <c r="AW280">
        <f t="shared" si="298"/>
        <v>1.2648304619851756</v>
      </c>
      <c r="AX280">
        <f t="shared" si="299"/>
        <v>0.65897576205898967</v>
      </c>
      <c r="AY280" t="str">
        <f t="shared" si="274"/>
        <v>1-0,0328672621137665i</v>
      </c>
      <c r="AZ280">
        <f t="shared" si="300"/>
        <v>1.0005399826687862</v>
      </c>
      <c r="BA280">
        <f t="shared" si="301"/>
        <v>-3.2855434749674992E-2</v>
      </c>
      <c r="BB280" s="58" t="str">
        <f t="shared" si="302"/>
        <v>-0,644571121468906+0,533975182673938i</v>
      </c>
      <c r="BC280">
        <f t="shared" si="303"/>
        <v>-1.5452898284416847</v>
      </c>
      <c r="BD280" s="60">
        <f t="shared" si="304"/>
        <v>140.36099228737891</v>
      </c>
      <c r="BE280" s="58" t="str">
        <f t="shared" si="305"/>
        <v>0,210104763912121+0,45835653556693i</v>
      </c>
      <c r="BF280" s="37">
        <f t="shared" si="306"/>
        <v>-5.9476513014015993</v>
      </c>
      <c r="BG280" s="60">
        <f t="shared" si="307"/>
        <v>65.373885243502798</v>
      </c>
      <c r="BH280" s="58" t="str">
        <f t="shared" si="308"/>
        <v>0,0136831363488917+1,5814245250913i</v>
      </c>
      <c r="BI280" s="37">
        <f t="shared" si="309"/>
        <v>3.9812945120825871</v>
      </c>
      <c r="BJ280" s="60">
        <f t="shared" si="310"/>
        <v>89.504265687318735</v>
      </c>
      <c r="BK280">
        <f t="shared" si="311"/>
        <v>-5.9476513014015993</v>
      </c>
      <c r="BL280" s="60">
        <f t="shared" si="312"/>
        <v>65.373885243502798</v>
      </c>
      <c r="BN280">
        <f t="shared" si="313"/>
        <v>0</v>
      </c>
      <c r="BO280">
        <f t="shared" si="314"/>
        <v>0</v>
      </c>
    </row>
    <row r="281" spans="13:67" x14ac:dyDescent="0.25">
      <c r="M281" s="66">
        <v>63</v>
      </c>
      <c r="N281" s="36">
        <f t="shared" si="262"/>
        <v>4265.7951880159299</v>
      </c>
      <c r="O281" s="91" t="str">
        <f t="shared" si="263"/>
        <v>13,7404580152672</v>
      </c>
      <c r="P281" s="67" t="str">
        <f t="shared" si="264"/>
        <v>1+28,9470041806814i</v>
      </c>
      <c r="Q281" s="67">
        <f t="shared" si="275"/>
        <v>28.964271974907064</v>
      </c>
      <c r="R281" s="67">
        <f t="shared" si="276"/>
        <v>1.5362641702990687</v>
      </c>
      <c r="S281" s="67" t="str">
        <f t="shared" si="265"/>
        <v>1+0,804083449463374i</v>
      </c>
      <c r="T281" s="67">
        <f t="shared" si="277"/>
        <v>1.2831797199538801</v>
      </c>
      <c r="U281" s="67">
        <f t="shared" si="278"/>
        <v>0.67722589546349232</v>
      </c>
      <c r="V281" t="str">
        <f t="shared" si="266"/>
        <v>1-0,167517385304869i</v>
      </c>
      <c r="W281" s="67">
        <f t="shared" si="279"/>
        <v>1.0139339595749715</v>
      </c>
      <c r="X281" s="67">
        <f t="shared" si="280"/>
        <v>-0.16597628929554201</v>
      </c>
      <c r="Y281" t="str">
        <f t="shared" si="267"/>
        <v>0,99883539145049+0,290670369941721i</v>
      </c>
      <c r="Z281" s="67">
        <f t="shared" si="281"/>
        <v>1.0402698703587019</v>
      </c>
      <c r="AA281" s="67">
        <f t="shared" si="282"/>
        <v>0.283188156350688</v>
      </c>
      <c r="AB281" s="92" t="str">
        <f t="shared" si="283"/>
        <v>0,154017899147701-0,572981945574955i</v>
      </c>
      <c r="AC281" s="37">
        <f t="shared" si="284"/>
        <v>-4.5342054246484782</v>
      </c>
      <c r="AD281" s="60">
        <f t="shared" si="285"/>
        <v>-74.954494631139994</v>
      </c>
      <c r="AE281" t="str">
        <f t="shared" si="286"/>
        <v>21,0353732052265</v>
      </c>
      <c r="AF281" t="str">
        <f t="shared" si="268"/>
        <v>1+14,4735020903407i</v>
      </c>
      <c r="AG281">
        <f t="shared" si="287"/>
        <v>14.508006849981033</v>
      </c>
      <c r="AH281">
        <f t="shared" si="288"/>
        <v>1.5018141750488556</v>
      </c>
      <c r="AI281" t="str">
        <f t="shared" si="269"/>
        <v>1+0,804083449463374i</v>
      </c>
      <c r="AJ281">
        <f t="shared" si="289"/>
        <v>1.2831797199538801</v>
      </c>
      <c r="AK281">
        <f t="shared" si="290"/>
        <v>0.67722589546349232</v>
      </c>
      <c r="AL281" t="str">
        <f t="shared" si="270"/>
        <v>1-0,0547109489389513i</v>
      </c>
      <c r="AM281">
        <f t="shared" si="291"/>
        <v>1.001495525668388</v>
      </c>
      <c r="AN281">
        <f t="shared" si="292"/>
        <v>-5.4656458228254365E-2</v>
      </c>
      <c r="AO281" s="58" t="str">
        <f t="shared" si="293"/>
        <v>1,18827759866756-1,43520808995492i</v>
      </c>
      <c r="AP281">
        <f t="shared" si="294"/>
        <v>5.4055794031401323</v>
      </c>
      <c r="AQ281" s="60">
        <f t="shared" si="295"/>
        <v>-50.377012635806828</v>
      </c>
      <c r="AR281" t="str">
        <f t="shared" si="271"/>
        <v>-1,05811623246493</v>
      </c>
      <c r="AS281" t="str">
        <f t="shared" si="272"/>
        <v>1+0,792504647791101i</v>
      </c>
      <c r="AT281">
        <f t="shared" si="296"/>
        <v>1.2759559619244298</v>
      </c>
      <c r="AU281">
        <f t="shared" si="297"/>
        <v>0.67015386597971249</v>
      </c>
      <c r="AV281" t="str">
        <f t="shared" si="273"/>
        <v>1+0,792504647791101i</v>
      </c>
      <c r="AW281">
        <f t="shared" si="298"/>
        <v>1.2759559619244298</v>
      </c>
      <c r="AX281">
        <f t="shared" si="299"/>
        <v>0.67015386597971249</v>
      </c>
      <c r="AY281" t="str">
        <f t="shared" si="274"/>
        <v>1-0,0321191118884833i</v>
      </c>
      <c r="AZ281">
        <f t="shared" si="300"/>
        <v>1.0005156857083775</v>
      </c>
      <c r="BA281">
        <f t="shared" si="301"/>
        <v>-3.2108073628358685E-2</v>
      </c>
      <c r="BB281" s="58" t="str">
        <f t="shared" si="302"/>
        <v>-0,633379650590657+0,535942070570961i</v>
      </c>
      <c r="BC281">
        <f t="shared" si="303"/>
        <v>-1.6215681370795545</v>
      </c>
      <c r="BD281" s="60">
        <f t="shared" si="304"/>
        <v>139.76335474778639</v>
      </c>
      <c r="BE281" s="58" t="str">
        <f t="shared" si="305"/>
        <v>0,209533327164341+0,445459776257228i</v>
      </c>
      <c r="BF281" s="37">
        <f t="shared" si="306"/>
        <v>-6.1557735617280374</v>
      </c>
      <c r="BG281" s="60">
        <f t="shared" si="307"/>
        <v>64.808860116646414</v>
      </c>
      <c r="BH281" s="58" t="str">
        <f t="shared" si="308"/>
        <v>0,0165575451818697+1,54587955518351i</v>
      </c>
      <c r="BI281" s="37">
        <f t="shared" si="309"/>
        <v>3.7840112660605629</v>
      </c>
      <c r="BJ281" s="60">
        <f t="shared" si="310"/>
        <v>89.386342111979587</v>
      </c>
      <c r="BK281">
        <f t="shared" si="311"/>
        <v>-6.1557735617280374</v>
      </c>
      <c r="BL281" s="60">
        <f t="shared" si="312"/>
        <v>64.808860116646414</v>
      </c>
      <c r="BN281">
        <f t="shared" si="313"/>
        <v>0</v>
      </c>
      <c r="BO281">
        <f t="shared" si="314"/>
        <v>0</v>
      </c>
    </row>
    <row r="282" spans="13:67" x14ac:dyDescent="0.25">
      <c r="M282" s="66">
        <v>64</v>
      </c>
      <c r="N282" s="36">
        <f t="shared" si="262"/>
        <v>4365.1583224016631</v>
      </c>
      <c r="O282" s="91" t="str">
        <f t="shared" si="263"/>
        <v>13,7404580152672</v>
      </c>
      <c r="P282" s="67" t="str">
        <f t="shared" si="264"/>
        <v>1+29,6212665256129i</v>
      </c>
      <c r="Q282" s="67">
        <f t="shared" si="275"/>
        <v>29.63814148325423</v>
      </c>
      <c r="R282" s="67">
        <f t="shared" si="276"/>
        <v>1.5370496145541417</v>
      </c>
      <c r="S282" s="67" t="str">
        <f t="shared" si="265"/>
        <v>1+0,822812959044805i</v>
      </c>
      <c r="T282" s="67">
        <f t="shared" si="277"/>
        <v>1.2949985195250486</v>
      </c>
      <c r="U282" s="67">
        <f t="shared" si="278"/>
        <v>0.68849732090524318</v>
      </c>
      <c r="V282" t="str">
        <f t="shared" si="266"/>
        <v>1-0,171419366467668i</v>
      </c>
      <c r="W282" s="67">
        <f t="shared" si="279"/>
        <v>1.0145859249960925</v>
      </c>
      <c r="X282" s="67">
        <f t="shared" si="280"/>
        <v>-0.1697693317840466</v>
      </c>
      <c r="Y282" t="str">
        <f t="shared" si="267"/>
        <v>0,998780505140504+0,297440952625017i</v>
      </c>
      <c r="Z282" s="67">
        <f t="shared" si="281"/>
        <v>1.0421293670879819</v>
      </c>
      <c r="AA282" s="67">
        <f t="shared" si="282"/>
        <v>0.28944101307821424</v>
      </c>
      <c r="AB282" s="92" t="str">
        <f t="shared" si="283"/>
        <v>0,151977251394466-0,564399346931847i</v>
      </c>
      <c r="AC282" s="37">
        <f t="shared" si="284"/>
        <v>-4.6642657350977501</v>
      </c>
      <c r="AD282" s="60">
        <f t="shared" si="285"/>
        <v>-74.929279791582076</v>
      </c>
      <c r="AE282" t="str">
        <f t="shared" si="286"/>
        <v>21,0353732052265</v>
      </c>
      <c r="AF282" t="str">
        <f t="shared" si="268"/>
        <v>1+14,8106332628065i</v>
      </c>
      <c r="AG282">
        <f t="shared" si="287"/>
        <v>14.844354403117379</v>
      </c>
      <c r="AH282">
        <f t="shared" si="288"/>
        <v>1.5033795919627719</v>
      </c>
      <c r="AI282" t="str">
        <f t="shared" si="269"/>
        <v>1+0,822812959044805i</v>
      </c>
      <c r="AJ282">
        <f t="shared" si="289"/>
        <v>1.2949985195250486</v>
      </c>
      <c r="AK282">
        <f t="shared" si="290"/>
        <v>0.68849732090524318</v>
      </c>
      <c r="AL282" t="str">
        <f t="shared" si="270"/>
        <v>1-0,0559853306502589i</v>
      </c>
      <c r="AM282">
        <f t="shared" si="291"/>
        <v>1.0015659525203615</v>
      </c>
      <c r="AN282">
        <f t="shared" si="292"/>
        <v>-5.5926947731111613E-2</v>
      </c>
      <c r="AO282" s="58" t="str">
        <f t="shared" si="293"/>
        <v>1,18403278732571-1,40577003686159i</v>
      </c>
      <c r="AP282">
        <f t="shared" si="294"/>
        <v>5.2867546339704061</v>
      </c>
      <c r="AQ282" s="60">
        <f t="shared" si="295"/>
        <v>-49.89369299767332</v>
      </c>
      <c r="AR282" t="str">
        <f t="shared" si="271"/>
        <v>-1,05811623246493</v>
      </c>
      <c r="AS282" t="str">
        <f t="shared" si="272"/>
        <v>1+0,810964452434559i</v>
      </c>
      <c r="AT282">
        <f t="shared" si="296"/>
        <v>1.2875027546038431</v>
      </c>
      <c r="AU282">
        <f t="shared" si="297"/>
        <v>0.68139091791645356</v>
      </c>
      <c r="AV282" t="str">
        <f t="shared" si="273"/>
        <v>1+0,810964452434559i</v>
      </c>
      <c r="AW282">
        <f t="shared" si="298"/>
        <v>1.2875027546038431</v>
      </c>
      <c r="AX282">
        <f t="shared" si="299"/>
        <v>0.68139091791645356</v>
      </c>
      <c r="AY282" t="str">
        <f t="shared" si="274"/>
        <v>1-0,0313879916414703i</v>
      </c>
      <c r="AZ282">
        <f t="shared" si="300"/>
        <v>1.0004924817405101</v>
      </c>
      <c r="BA282">
        <f t="shared" si="301"/>
        <v>-3.1377689850983763E-2</v>
      </c>
      <c r="BB282" s="58" t="str">
        <f t="shared" si="302"/>
        <v>-0,622069836444158+0,537688667748305i</v>
      </c>
      <c r="BC282">
        <f t="shared" si="303"/>
        <v>-1.700019210418656</v>
      </c>
      <c r="BD282" s="60">
        <f t="shared" si="304"/>
        <v>139.16136700551027</v>
      </c>
      <c r="BE282" s="58" t="str">
        <f t="shared" si="305"/>
        <v>0,20893066901161+0,432812255265423i</v>
      </c>
      <c r="BF282" s="37">
        <f t="shared" si="306"/>
        <v>-6.3642849455164106</v>
      </c>
      <c r="BG282" s="60">
        <f t="shared" si="307"/>
        <v>64.232087213928182</v>
      </c>
      <c r="BH282" s="58" t="str">
        <f t="shared" si="308"/>
        <v>0,0193155359243691+1,51112814889606i</v>
      </c>
      <c r="BI282" s="37">
        <f t="shared" si="309"/>
        <v>3.5867354235517479</v>
      </c>
      <c r="BJ282" s="60">
        <f t="shared" si="310"/>
        <v>89.267674007836959</v>
      </c>
      <c r="BK282">
        <f t="shared" si="311"/>
        <v>-6.3642849455164106</v>
      </c>
      <c r="BL282" s="60">
        <f t="shared" si="312"/>
        <v>64.232087213928182</v>
      </c>
      <c r="BN282">
        <f t="shared" si="313"/>
        <v>0</v>
      </c>
      <c r="BO282">
        <f t="shared" si="314"/>
        <v>0</v>
      </c>
    </row>
    <row r="283" spans="13:67" x14ac:dyDescent="0.25">
      <c r="M283" s="66">
        <v>65</v>
      </c>
      <c r="N283" s="36">
        <f t="shared" si="262"/>
        <v>4466.8359215096343</v>
      </c>
      <c r="O283" s="91" t="str">
        <f t="shared" si="263"/>
        <v>13,7404580152672</v>
      </c>
      <c r="P283" s="67" t="str">
        <f t="shared" si="264"/>
        <v>1+30,3112344581402i</v>
      </c>
      <c r="Q283" s="67">
        <f t="shared" si="275"/>
        <v>30.327725506149417</v>
      </c>
      <c r="R283" s="67">
        <f t="shared" si="276"/>
        <v>1.5378172201669786</v>
      </c>
      <c r="S283" s="67" t="str">
        <f t="shared" si="265"/>
        <v>1+0,84197873494834i</v>
      </c>
      <c r="T283" s="67">
        <f t="shared" si="277"/>
        <v>1.3072598020688952</v>
      </c>
      <c r="U283" s="67">
        <f t="shared" si="278"/>
        <v>0.69981883482250673</v>
      </c>
      <c r="V283" t="str">
        <f t="shared" si="266"/>
        <v>1-0,175412236447571i</v>
      </c>
      <c r="W283" s="67">
        <f t="shared" si="279"/>
        <v>1.0152681678726752</v>
      </c>
      <c r="X283" s="67">
        <f t="shared" si="280"/>
        <v>-0.17364562528511995</v>
      </c>
      <c r="Y283" t="str">
        <f t="shared" si="267"/>
        <v>0,99872303211842+0,304369242438492i</v>
      </c>
      <c r="Z283" s="67">
        <f t="shared" si="281"/>
        <v>1.0440729527319401</v>
      </c>
      <c r="AA283" s="67">
        <f t="shared" si="282"/>
        <v>0.2958165699926894</v>
      </c>
      <c r="AB283" s="92" t="str">
        <f t="shared" si="283"/>
        <v>0,149917369033858-0,556080472530826i</v>
      </c>
      <c r="AC283" s="37">
        <f t="shared" si="284"/>
        <v>-4.7925359957557614</v>
      </c>
      <c r="AD283" s="60">
        <f t="shared" si="285"/>
        <v>-74.911973149380771</v>
      </c>
      <c r="AE283" t="str">
        <f t="shared" si="286"/>
        <v>21,0353732052265</v>
      </c>
      <c r="AF283" t="str">
        <f t="shared" si="268"/>
        <v>1+15,1556172290701i</v>
      </c>
      <c r="AG283">
        <f t="shared" si="287"/>
        <v>15.1885724672889</v>
      </c>
      <c r="AH283">
        <f t="shared" si="288"/>
        <v>1.5049096954620884</v>
      </c>
      <c r="AI283" t="str">
        <f t="shared" si="269"/>
        <v>1+0,84197873494834i</v>
      </c>
      <c r="AJ283">
        <f t="shared" si="289"/>
        <v>1.3072598020688952</v>
      </c>
      <c r="AK283">
        <f t="shared" si="290"/>
        <v>0.69981883482250673</v>
      </c>
      <c r="AL283" t="str">
        <f t="shared" si="270"/>
        <v>1-0,0572893965249309i</v>
      </c>
      <c r="AM283">
        <f t="shared" si="291"/>
        <v>1.0016396931802327</v>
      </c>
      <c r="AN283">
        <f t="shared" si="292"/>
        <v>-5.7226843629619606E-2</v>
      </c>
      <c r="AO283" s="58" t="str">
        <f t="shared" si="293"/>
        <v>1,17997732863751-1,37705164791199i</v>
      </c>
      <c r="AP283">
        <f t="shared" si="294"/>
        <v>5.1701339482362174</v>
      </c>
      <c r="AQ283" s="60">
        <f t="shared" si="295"/>
        <v>-49.40716505403536</v>
      </c>
      <c r="AR283" t="str">
        <f t="shared" si="271"/>
        <v>-1,05811623246493</v>
      </c>
      <c r="AS283" t="str">
        <f t="shared" si="272"/>
        <v>1+0,829854241165083i</v>
      </c>
      <c r="AT283">
        <f t="shared" si="296"/>
        <v>1.2994837673398141</v>
      </c>
      <c r="AU283">
        <f t="shared" si="297"/>
        <v>0.69268152520922055</v>
      </c>
      <c r="AV283" t="str">
        <f t="shared" si="273"/>
        <v>1+0,829854241165083i</v>
      </c>
      <c r="AW283">
        <f t="shared" si="298"/>
        <v>1.2994837673398141</v>
      </c>
      <c r="AX283">
        <f t="shared" si="299"/>
        <v>0.69268152520922055</v>
      </c>
      <c r="AY283" t="str">
        <f t="shared" si="274"/>
        <v>1-0,0306735137230946i</v>
      </c>
      <c r="AZ283">
        <f t="shared" si="300"/>
        <v>1.000470321620847</v>
      </c>
      <c r="BA283">
        <f t="shared" si="301"/>
        <v>-3.0663899277232658E-2</v>
      </c>
      <c r="BB283" s="58" t="str">
        <f t="shared" si="302"/>
        <v>-0,610651965718167+0,539208266404158i</v>
      </c>
      <c r="BC283">
        <f t="shared" si="303"/>
        <v>-1.7806654370343828</v>
      </c>
      <c r="BD283" s="60">
        <f t="shared" si="304"/>
        <v>138.55536004682725</v>
      </c>
      <c r="BE283" s="58" t="str">
        <f t="shared" si="305"/>
        <v>0,20829585147873+0,420408318309055i</v>
      </c>
      <c r="BF283" s="37">
        <f t="shared" si="306"/>
        <v>-6.5732014327901496</v>
      </c>
      <c r="BG283" s="60">
        <f t="shared" si="307"/>
        <v>63.643386897446533</v>
      </c>
      <c r="BH283" s="58" t="str">
        <f t="shared" si="308"/>
        <v>0,0219621565842461+1,47715282546374i</v>
      </c>
      <c r="BI283" s="37">
        <f t="shared" si="309"/>
        <v>3.3894685112018408</v>
      </c>
      <c r="BJ283" s="60">
        <f t="shared" si="310"/>
        <v>89.148194992791886</v>
      </c>
      <c r="BK283">
        <f t="shared" si="311"/>
        <v>-6.5732014327901496</v>
      </c>
      <c r="BL283" s="60">
        <f t="shared" si="312"/>
        <v>63.643386897446533</v>
      </c>
      <c r="BN283">
        <f t="shared" si="313"/>
        <v>0</v>
      </c>
      <c r="BO283">
        <f t="shared" si="314"/>
        <v>0</v>
      </c>
    </row>
    <row r="284" spans="13:67" x14ac:dyDescent="0.25">
      <c r="M284" s="66">
        <v>66</v>
      </c>
      <c r="N284" s="36">
        <f t="shared" ref="N284:N318" si="315">10^(3+(M284/100))</f>
        <v>4570.8818961487532</v>
      </c>
      <c r="O284" s="91" t="str">
        <f t="shared" si="263"/>
        <v>13,7404580152672</v>
      </c>
      <c r="P284" s="67" t="str">
        <f t="shared" si="264"/>
        <v>1+31,0172738083938i</v>
      </c>
      <c r="Q284" s="67">
        <f t="shared" si="275"/>
        <v>31.033389671527537</v>
      </c>
      <c r="R284" s="67">
        <f t="shared" si="276"/>
        <v>1.5385673905118691</v>
      </c>
      <c r="S284" s="67" t="str">
        <f t="shared" si="265"/>
        <v>1+0,861590939122051i</v>
      </c>
      <c r="T284" s="67">
        <f t="shared" si="277"/>
        <v>1.3199768734251436</v>
      </c>
      <c r="U284" s="67">
        <f t="shared" si="278"/>
        <v>0.7111848315715914</v>
      </c>
      <c r="V284" t="str">
        <f t="shared" si="266"/>
        <v>1-0,179498112317094i</v>
      </c>
      <c r="W284" s="67">
        <f t="shared" si="279"/>
        <v>1.0159820728366225</v>
      </c>
      <c r="X284" s="67">
        <f t="shared" si="280"/>
        <v>-0.17760675887755606</v>
      </c>
      <c r="Y284" t="str">
        <f t="shared" si="267"/>
        <v>0,998662850476253+0,311458912853111i</v>
      </c>
      <c r="Z284" s="67">
        <f t="shared" si="281"/>
        <v>1.0461042698110914</v>
      </c>
      <c r="AA284" s="67">
        <f t="shared" si="282"/>
        <v>0.30231622658533081</v>
      </c>
      <c r="AB284" s="92" t="str">
        <f t="shared" si="283"/>
        <v>0,147835185484191-0,548019072744328i</v>
      </c>
      <c r="AC284" s="37">
        <f t="shared" si="284"/>
        <v>-4.9190122580192739</v>
      </c>
      <c r="AD284" s="60">
        <f t="shared" si="285"/>
        <v>-74.90309022835369</v>
      </c>
      <c r="AE284" t="str">
        <f t="shared" si="286"/>
        <v>21,0353732052265</v>
      </c>
      <c r="AF284" t="str">
        <f t="shared" si="268"/>
        <v>1+15,5086369041969i</v>
      </c>
      <c r="AG284">
        <f t="shared" si="287"/>
        <v>15.540843562246485</v>
      </c>
      <c r="AH284">
        <f t="shared" si="288"/>
        <v>1.5064052681533744</v>
      </c>
      <c r="AI284" t="str">
        <f t="shared" si="269"/>
        <v>1+0,861590939122051i</v>
      </c>
      <c r="AJ284">
        <f t="shared" si="289"/>
        <v>1.3199768734251436</v>
      </c>
      <c r="AK284">
        <f t="shared" si="290"/>
        <v>0.7111848315715914</v>
      </c>
      <c r="AL284" t="str">
        <f t="shared" si="270"/>
        <v>1-0,0586238379959551i</v>
      </c>
      <c r="AM284">
        <f t="shared" si="291"/>
        <v>1.0017169033121962</v>
      </c>
      <c r="AN284">
        <f t="shared" si="292"/>
        <v>-5.8556817564065167E-2</v>
      </c>
      <c r="AO284" s="58" t="str">
        <f t="shared" si="293"/>
        <v>1,17610284855168-1,34903939647338i</v>
      </c>
      <c r="AP284">
        <f t="shared" si="294"/>
        <v>5.0557391467806578</v>
      </c>
      <c r="AQ284" s="60">
        <f t="shared" si="295"/>
        <v>-48.917833306825258</v>
      </c>
      <c r="AR284" t="str">
        <f t="shared" si="271"/>
        <v>-1,05811623246493</v>
      </c>
      <c r="AS284" t="str">
        <f t="shared" si="272"/>
        <v>1+0,849184029598693i</v>
      </c>
      <c r="AT284">
        <f t="shared" si="296"/>
        <v>1.3119121602170909</v>
      </c>
      <c r="AU284">
        <f t="shared" si="297"/>
        <v>0.70402016059759231</v>
      </c>
      <c r="AV284" t="str">
        <f t="shared" si="273"/>
        <v>1+0,849184029598693i</v>
      </c>
      <c r="AW284">
        <f t="shared" si="298"/>
        <v>1.3119121602170909</v>
      </c>
      <c r="AX284">
        <f t="shared" si="299"/>
        <v>0.70402016059759231</v>
      </c>
      <c r="AY284" t="str">
        <f t="shared" si="274"/>
        <v>1-0,0299752993077069i</v>
      </c>
      <c r="AZ284">
        <f t="shared" si="300"/>
        <v>1.0004491584126534</v>
      </c>
      <c r="BA284">
        <f t="shared" si="301"/>
        <v>-2.9966326356952466E-2</v>
      </c>
      <c r="BB284" s="58" t="str">
        <f t="shared" si="302"/>
        <v>-0,599136753658661+0,54049471352302i</v>
      </c>
      <c r="BC284">
        <f t="shared" si="303"/>
        <v>-1.8635271491452499</v>
      </c>
      <c r="BD284" s="60">
        <f t="shared" si="304"/>
        <v>137.94567207787057</v>
      </c>
      <c r="BE284" s="58" t="str">
        <f t="shared" si="305"/>
        <v>0,207627918620572+0,408242504413967i</v>
      </c>
      <c r="BF284" s="37">
        <f t="shared" si="306"/>
        <v>-6.7825394071645206</v>
      </c>
      <c r="BG284" s="60">
        <f t="shared" si="307"/>
        <v>63.042581849516942</v>
      </c>
      <c r="BH284" s="58" t="str">
        <f t="shared" si="308"/>
        <v>0,0245022194781899+1,44393645676225i</v>
      </c>
      <c r="BI284" s="37">
        <f t="shared" si="309"/>
        <v>3.1922119976354173</v>
      </c>
      <c r="BJ284" s="60">
        <f t="shared" si="310"/>
        <v>89.02783877104531</v>
      </c>
      <c r="BK284">
        <f t="shared" si="311"/>
        <v>-6.7825394071645206</v>
      </c>
      <c r="BL284" s="60">
        <f t="shared" si="312"/>
        <v>63.042581849516942</v>
      </c>
      <c r="BN284">
        <f t="shared" si="313"/>
        <v>0</v>
      </c>
      <c r="BO284">
        <f t="shared" si="314"/>
        <v>0</v>
      </c>
    </row>
    <row r="285" spans="13:67" x14ac:dyDescent="0.25">
      <c r="M285" s="66">
        <v>67</v>
      </c>
      <c r="N285" s="36">
        <f t="shared" si="315"/>
        <v>4677.3514128719844</v>
      </c>
      <c r="O285" s="91" t="str">
        <f t="shared" si="263"/>
        <v>13,7404580152672</v>
      </c>
      <c r="P285" s="67" t="str">
        <f t="shared" si="264"/>
        <v>1+31,7397589277827i</v>
      </c>
      <c r="Q285" s="67">
        <f t="shared" si="275"/>
        <v>31.755508133137493</v>
      </c>
      <c r="R285" s="67">
        <f t="shared" si="276"/>
        <v>1.5393005199598286</v>
      </c>
      <c r="S285" s="67" t="str">
        <f t="shared" si="265"/>
        <v>1+0,881659970216188i</v>
      </c>
      <c r="T285" s="67">
        <f t="shared" si="277"/>
        <v>1.3331632694766271</v>
      </c>
      <c r="U285" s="67">
        <f t="shared" si="278"/>
        <v>0.72258959178433457</v>
      </c>
      <c r="V285" t="str">
        <f t="shared" si="266"/>
        <v>1-0,183679160461706i</v>
      </c>
      <c r="W285" s="67">
        <f t="shared" si="279"/>
        <v>1.0167290858374798</v>
      </c>
      <c r="X285" s="67">
        <f t="shared" si="280"/>
        <v>-0.18165433534035796</v>
      </c>
      <c r="Y285" t="str">
        <f t="shared" si="267"/>
        <v>0,998599832560672+0,31871372290597i</v>
      </c>
      <c r="Z285" s="67">
        <f t="shared" si="281"/>
        <v>1.0482271045717075</v>
      </c>
      <c r="AA285" s="67">
        <f t="shared" si="282"/>
        <v>0.30894133058623036</v>
      </c>
      <c r="AB285" s="92" t="str">
        <f t="shared" si="283"/>
        <v>0,145727689294229-0,540208924356608i</v>
      </c>
      <c r="AC285" s="37">
        <f t="shared" si="284"/>
        <v>-5.0436930973377594</v>
      </c>
      <c r="AD285" s="60">
        <f t="shared" si="285"/>
        <v>-74.903150371671487</v>
      </c>
      <c r="AE285" t="str">
        <f t="shared" si="286"/>
        <v>21,0353732052265</v>
      </c>
      <c r="AF285" t="str">
        <f t="shared" si="268"/>
        <v>1+15,8698794638914i</v>
      </c>
      <c r="AG285">
        <f t="shared" si="287"/>
        <v>15.901354476850139</v>
      </c>
      <c r="AH285">
        <f t="shared" si="288"/>
        <v>1.5078670762323616</v>
      </c>
      <c r="AI285" t="str">
        <f t="shared" si="269"/>
        <v>1+0,881659970216188i</v>
      </c>
      <c r="AJ285">
        <f t="shared" si="289"/>
        <v>1.3331632694766271</v>
      </c>
      <c r="AK285">
        <f t="shared" si="290"/>
        <v>0.72258959178433457</v>
      </c>
      <c r="AL285" t="str">
        <f t="shared" si="270"/>
        <v>1-0,0599893626018631i</v>
      </c>
      <c r="AM285">
        <f t="shared" si="291"/>
        <v>1.0017977458675866</v>
      </c>
      <c r="AN285">
        <f t="shared" si="292"/>
        <v>-5.9917555873597872E-2</v>
      </c>
      <c r="AO285" s="58" t="str">
        <f t="shared" si="293"/>
        <v>1,17240133699115-1,32172001842211i</v>
      </c>
      <c r="AP285">
        <f t="shared" si="294"/>
        <v>4.9435898476349029</v>
      </c>
      <c r="AQ285" s="60">
        <f t="shared" si="295"/>
        <v>-48.426108675818661</v>
      </c>
      <c r="AR285" t="str">
        <f t="shared" si="271"/>
        <v>-1,05811623246493</v>
      </c>
      <c r="AS285" t="str">
        <f t="shared" si="272"/>
        <v>1+0,868964066645074i</v>
      </c>
      <c r="AT285">
        <f t="shared" si="296"/>
        <v>1.3248013243956034</v>
      </c>
      <c r="AU285">
        <f t="shared" si="297"/>
        <v>0.71540117479257426</v>
      </c>
      <c r="AV285" t="str">
        <f t="shared" si="273"/>
        <v>1+0,868964066645074i</v>
      </c>
      <c r="AW285">
        <f t="shared" si="298"/>
        <v>1.3248013243956034</v>
      </c>
      <c r="AX285">
        <f t="shared" si="299"/>
        <v>0.71540117479257426</v>
      </c>
      <c r="AY285" t="str">
        <f t="shared" si="274"/>
        <v>1-0,0292929781927821i</v>
      </c>
      <c r="AZ285">
        <f t="shared" si="300"/>
        <v>1.0004289472878136</v>
      </c>
      <c r="BA285">
        <f t="shared" si="301"/>
        <v>-2.9284603944857164E-2</v>
      </c>
      <c r="BB285" s="58" t="str">
        <f t="shared" si="302"/>
        <v>-0,587535306918399+0,541542445320398i</v>
      </c>
      <c r="BC285">
        <f t="shared" si="303"/>
        <v>-1.9486225438941438</v>
      </c>
      <c r="BD285" s="60">
        <f t="shared" si="304"/>
        <v>137.3326478149321</v>
      </c>
      <c r="BE285" s="58" t="str">
        <f t="shared" si="305"/>
        <v>0,206925899223985+0,396309545383206i</v>
      </c>
      <c r="BF285" s="37">
        <f t="shared" si="306"/>
        <v>-6.992315641231901</v>
      </c>
      <c r="BG285" s="60">
        <f t="shared" si="307"/>
        <v>62.429497443260679</v>
      </c>
      <c r="BH285" s="58" t="str">
        <f t="shared" si="308"/>
        <v>0,0269403114445944+1,41146226361492i</v>
      </c>
      <c r="BI285" s="37">
        <f t="shared" si="309"/>
        <v>2.9949673037407769</v>
      </c>
      <c r="BJ285" s="60">
        <f t="shared" si="310"/>
        <v>88.906539139113448</v>
      </c>
      <c r="BK285">
        <f t="shared" si="311"/>
        <v>-6.992315641231901</v>
      </c>
      <c r="BL285" s="60">
        <f t="shared" si="312"/>
        <v>62.429497443260679</v>
      </c>
      <c r="BN285">
        <f t="shared" si="313"/>
        <v>0</v>
      </c>
      <c r="BO285">
        <f t="shared" si="314"/>
        <v>0</v>
      </c>
    </row>
    <row r="286" spans="13:67" x14ac:dyDescent="0.25">
      <c r="M286" s="66">
        <v>68</v>
      </c>
      <c r="N286" s="36">
        <f t="shared" si="315"/>
        <v>4786.3009232263848</v>
      </c>
      <c r="O286" s="91" t="str">
        <f t="shared" si="263"/>
        <v>13,7404580152672</v>
      </c>
      <c r="P286" s="67" t="str">
        <f t="shared" si="264"/>
        <v>1+32,4790728874806i</v>
      </c>
      <c r="Q286" s="67">
        <f t="shared" si="275"/>
        <v>32.494463768929585</v>
      </c>
      <c r="R286" s="67">
        <f t="shared" si="276"/>
        <v>1.5400169940716599</v>
      </c>
      <c r="S286" s="67" t="str">
        <f t="shared" si="265"/>
        <v>1+0,902196469096684i</v>
      </c>
      <c r="T286" s="67">
        <f t="shared" si="277"/>
        <v>1.346832754595211</v>
      </c>
      <c r="U286" s="67">
        <f t="shared" si="278"/>
        <v>0.7340272961114821</v>
      </c>
      <c r="V286" t="str">
        <f t="shared" si="266"/>
        <v>1-0,187957597728476i</v>
      </c>
      <c r="W286" s="67">
        <f t="shared" si="279"/>
        <v>1.0175107166727335</v>
      </c>
      <c r="X286" s="67">
        <f t="shared" si="280"/>
        <v>-0.18578997000334629</v>
      </c>
      <c r="Y286" t="str">
        <f t="shared" si="267"/>
        <v>0,998533844702229+0,326137519193389i</v>
      </c>
      <c r="Z286" s="67">
        <f t="shared" si="281"/>
        <v>1.0504453914608951</v>
      </c>
      <c r="AA286" s="67">
        <f t="shared" si="282"/>
        <v>0.31569317279540721</v>
      </c>
      <c r="AB286" s="92" t="str">
        <f t="shared" si="283"/>
        <v>0,143591925095799-0,532643824802202i</v>
      </c>
      <c r="AC286" s="37">
        <f t="shared" si="284"/>
        <v>-5.1665796673300823</v>
      </c>
      <c r="AD286" s="60">
        <f t="shared" si="285"/>
        <v>-74.912675603467235</v>
      </c>
      <c r="AE286" t="str">
        <f t="shared" si="286"/>
        <v>21,0353732052265</v>
      </c>
      <c r="AF286" t="str">
        <f t="shared" si="268"/>
        <v>1+16,2395364437403i</v>
      </c>
      <c r="AG286">
        <f t="shared" si="287"/>
        <v>16.270296368154124</v>
      </c>
      <c r="AH286">
        <f t="shared" si="288"/>
        <v>1.5092958697652523</v>
      </c>
      <c r="AI286" t="str">
        <f t="shared" si="269"/>
        <v>1+0,902196469096684i</v>
      </c>
      <c r="AJ286">
        <f t="shared" si="289"/>
        <v>1.346832754595211</v>
      </c>
      <c r="AK286">
        <f t="shared" si="290"/>
        <v>0.7340272961114821</v>
      </c>
      <c r="AL286" t="str">
        <f t="shared" si="270"/>
        <v>1-0,0613866943618757i</v>
      </c>
      <c r="AM286">
        <f t="shared" si="291"/>
        <v>1.0018823914236035</v>
      </c>
      <c r="AN286">
        <f t="shared" si="292"/>
        <v>-6.1309759871848037E-2</v>
      </c>
      <c r="AO286" s="58" t="str">
        <f t="shared" si="293"/>
        <v>1,16886513259273-1,29508051240794i</v>
      </c>
      <c r="AP286">
        <f t="shared" si="294"/>
        <v>4.8337034254667053</v>
      </c>
      <c r="AQ286" s="60">
        <f t="shared" si="295"/>
        <v>-47.932407743105799</v>
      </c>
      <c r="AR286" t="str">
        <f t="shared" si="271"/>
        <v>-1,05811623246493</v>
      </c>
      <c r="AS286" t="str">
        <f t="shared" si="272"/>
        <v>1+0,889204839941691i</v>
      </c>
      <c r="AT286">
        <f t="shared" si="296"/>
        <v>1.3381648804895936</v>
      </c>
      <c r="AU286">
        <f t="shared" si="297"/>
        <v>0.72681880978936764</v>
      </c>
      <c r="AV286" t="str">
        <f t="shared" si="273"/>
        <v>1+0,889204839941691i</v>
      </c>
      <c r="AW286">
        <f t="shared" si="298"/>
        <v>1.3381648804895936</v>
      </c>
      <c r="AX286">
        <f t="shared" si="299"/>
        <v>0.72681880978936764</v>
      </c>
      <c r="AY286" t="str">
        <f t="shared" si="274"/>
        <v>1-0,0286261886026336i</v>
      </c>
      <c r="AZ286">
        <f t="shared" si="300"/>
        <v>1.0004096454322666</v>
      </c>
      <c r="BA286">
        <f t="shared" si="301"/>
        <v>-2.8618373118769663E-2</v>
      </c>
      <c r="BB286" s="58" t="str">
        <f t="shared" si="302"/>
        <v>-0,575859083130701+0,542346518678253i</v>
      </c>
      <c r="BC286">
        <f t="shared" si="303"/>
        <v>-2.0359676121190318</v>
      </c>
      <c r="BD286" s="60">
        <f t="shared" si="304"/>
        <v>136.71663773211134</v>
      </c>
      <c r="BE286" s="58" t="str">
        <f t="shared" si="305"/>
        <v>0,206188809746304+0,384604365271841i</v>
      </c>
      <c r="BF286" s="37">
        <f t="shared" si="306"/>
        <v>-7.2025472794491154</v>
      </c>
      <c r="BG286" s="60">
        <f t="shared" si="307"/>
        <v>61.803962128644152</v>
      </c>
      <c r="BH286" s="58" t="str">
        <f t="shared" si="308"/>
        <v>0,0292808037541996+1,37971381192174i</v>
      </c>
      <c r="BI286" s="37">
        <f t="shared" si="309"/>
        <v>2.7977358133476953</v>
      </c>
      <c r="BJ286" s="60">
        <f t="shared" si="310"/>
        <v>88.784229989005539</v>
      </c>
      <c r="BK286">
        <f t="shared" si="311"/>
        <v>-7.2025472794491154</v>
      </c>
      <c r="BL286" s="60">
        <f t="shared" si="312"/>
        <v>61.803962128644152</v>
      </c>
      <c r="BN286">
        <f t="shared" si="313"/>
        <v>0</v>
      </c>
      <c r="BO286">
        <f t="shared" si="314"/>
        <v>0</v>
      </c>
    </row>
    <row r="287" spans="13:67" x14ac:dyDescent="0.25">
      <c r="M287" s="66">
        <v>69</v>
      </c>
      <c r="N287" s="36">
        <f t="shared" si="315"/>
        <v>4897.7881936844633</v>
      </c>
      <c r="O287" s="91" t="str">
        <f t="shared" si="263"/>
        <v>13,7404580152672</v>
      </c>
      <c r="P287" s="67" t="str">
        <f t="shared" si="264"/>
        <v>1+33,2356076815348i</v>
      </c>
      <c r="Q287" s="67">
        <f t="shared" si="275"/>
        <v>33.250648384067567</v>
      </c>
      <c r="R287" s="67">
        <f t="shared" si="276"/>
        <v>1.5407171897874075</v>
      </c>
      <c r="S287" s="67" t="str">
        <f t="shared" si="265"/>
        <v>1+0,923211324487078i</v>
      </c>
      <c r="T287" s="67">
        <f t="shared" si="277"/>
        <v>1.3609993202280393</v>
      </c>
      <c r="U287" s="67">
        <f t="shared" si="278"/>
        <v>0.74549203958683852</v>
      </c>
      <c r="V287" t="str">
        <f t="shared" si="266"/>
        <v>1-0,192335692601474i</v>
      </c>
      <c r="W287" s="67">
        <f t="shared" si="279"/>
        <v>1.0183285416055512</v>
      </c>
      <c r="X287" s="67">
        <f t="shared" si="280"/>
        <v>-0.19001528948833782</v>
      </c>
      <c r="Y287" t="str">
        <f t="shared" si="267"/>
        <v>0,998464746931828+0,333734237910426i</v>
      </c>
      <c r="Z287" s="67">
        <f t="shared" si="281"/>
        <v>1.0527632176416937</v>
      </c>
      <c r="AA287" s="67">
        <f t="shared" si="282"/>
        <v>0.32257298170746984</v>
      </c>
      <c r="AB287" s="92" t="str">
        <f t="shared" si="283"/>
        <v>0,141424995051873-0,525317586497081i</v>
      </c>
      <c r="AC287" s="37">
        <f t="shared" si="284"/>
        <v>-5.2876757431835983</v>
      </c>
      <c r="AD287" s="60">
        <f t="shared" si="285"/>
        <v>-74.932189436576778</v>
      </c>
      <c r="AE287" t="str">
        <f t="shared" si="286"/>
        <v>21,0353732052265</v>
      </c>
      <c r="AF287" t="str">
        <f t="shared" si="268"/>
        <v>1+16,6178038407674i</v>
      </c>
      <c r="AG287">
        <f t="shared" si="287"/>
        <v>16.647864862805193</v>
      </c>
      <c r="AH287">
        <f t="shared" si="288"/>
        <v>1.5106923829696275</v>
      </c>
      <c r="AI287" t="str">
        <f t="shared" si="269"/>
        <v>1+0,923211324487078i</v>
      </c>
      <c r="AJ287">
        <f t="shared" si="289"/>
        <v>1.3609993202280393</v>
      </c>
      <c r="AK287">
        <f t="shared" si="290"/>
        <v>0.74549203958683852</v>
      </c>
      <c r="AL287" t="str">
        <f t="shared" si="270"/>
        <v>1-0,0628165741597879i</v>
      </c>
      <c r="AM287">
        <f t="shared" si="291"/>
        <v>1.0019710185375483</v>
      </c>
      <c r="AN287">
        <f t="shared" si="292"/>
        <v>-6.2734146124296508E-2</v>
      </c>
      <c r="AO287" s="58" t="str">
        <f t="shared" si="293"/>
        <v>1,165486908037-1,26910813978918i</v>
      </c>
      <c r="AP287">
        <f t="shared" si="294"/>
        <v>4.7260949594948842</v>
      </c>
      <c r="AQ287" s="60">
        <f t="shared" si="295"/>
        <v>-47.437151962074381</v>
      </c>
      <c r="AR287" t="str">
        <f t="shared" si="271"/>
        <v>-1,05811623246493</v>
      </c>
      <c r="AS287" t="str">
        <f t="shared" si="272"/>
        <v>1+0,909917081414464i</v>
      </c>
      <c r="AT287">
        <f t="shared" si="296"/>
        <v>1.3520166770605369</v>
      </c>
      <c r="AU287">
        <f t="shared" si="297"/>
        <v>0.73826721284974028</v>
      </c>
      <c r="AV287" t="str">
        <f t="shared" si="273"/>
        <v>1+0,909917081414464i</v>
      </c>
      <c r="AW287">
        <f t="shared" si="298"/>
        <v>1.3520166770605369</v>
      </c>
      <c r="AX287">
        <f t="shared" si="299"/>
        <v>0.73826721284974028</v>
      </c>
      <c r="AY287" t="str">
        <f t="shared" si="274"/>
        <v>1-0,0279745769965945i</v>
      </c>
      <c r="AZ287">
        <f t="shared" si="300"/>
        <v>1.0003912119556722</v>
      </c>
      <c r="BA287">
        <f t="shared" si="301"/>
        <v>-2.7967283001365469E-2</v>
      </c>
      <c r="BB287" s="58" t="str">
        <f t="shared" si="302"/>
        <v>-0,56411984749573+0,542902639217723i</v>
      </c>
      <c r="BC287">
        <f t="shared" si="303"/>
        <v>-2.1255760752230826</v>
      </c>
      <c r="BD287" s="60">
        <f t="shared" si="304"/>
        <v>136.09799727039729</v>
      </c>
      <c r="BE287" s="58" t="str">
        <f t="shared" si="305"/>
        <v>0,205415657496003+0,373122079846574i</v>
      </c>
      <c r="BF287" s="37">
        <f t="shared" si="306"/>
        <v>-7.413251818406672</v>
      </c>
      <c r="BG287" s="60">
        <f t="shared" si="307"/>
        <v>61.165807833820537</v>
      </c>
      <c r="BH287" s="58" t="str">
        <f t="shared" si="308"/>
        <v>0,0315278617241384+1,34867500862045i</v>
      </c>
      <c r="BI287" s="37">
        <f t="shared" si="309"/>
        <v>2.6005188842717848</v>
      </c>
      <c r="BJ287" s="60">
        <f t="shared" si="310"/>
        <v>88.660845308322919</v>
      </c>
      <c r="BK287">
        <f t="shared" si="311"/>
        <v>-7.413251818406672</v>
      </c>
      <c r="BL287" s="60">
        <f t="shared" si="312"/>
        <v>61.165807833820537</v>
      </c>
      <c r="BN287">
        <f t="shared" si="313"/>
        <v>0</v>
      </c>
      <c r="BO287">
        <f t="shared" si="314"/>
        <v>0</v>
      </c>
    </row>
    <row r="288" spans="13:67" x14ac:dyDescent="0.25">
      <c r="M288" s="66">
        <v>70</v>
      </c>
      <c r="N288" s="36">
        <f t="shared" si="315"/>
        <v>5011.8723362727324</v>
      </c>
      <c r="O288" s="91" t="str">
        <f t="shared" si="263"/>
        <v>13,7404580152672</v>
      </c>
      <c r="P288" s="67" t="str">
        <f t="shared" si="264"/>
        <v>1+34,009764434707i</v>
      </c>
      <c r="Q288" s="67">
        <f t="shared" si="275"/>
        <v>34.02446291867458</v>
      </c>
      <c r="R288" s="67">
        <f t="shared" si="276"/>
        <v>1.5414014756122343</v>
      </c>
      <c r="S288" s="67" t="str">
        <f t="shared" si="265"/>
        <v>1+0,944715678741862i</v>
      </c>
      <c r="T288" s="67">
        <f t="shared" si="277"/>
        <v>1.3756771836665378</v>
      </c>
      <c r="U288" s="67">
        <f t="shared" si="278"/>
        <v>0.75697784652898403</v>
      </c>
      <c r="V288" t="str">
        <f t="shared" si="266"/>
        <v>1-0,196815766404554i</v>
      </c>
      <c r="W288" s="67">
        <f t="shared" si="279"/>
        <v>1.0191842060714109</v>
      </c>
      <c r="X288" s="67">
        <f t="shared" si="280"/>
        <v>-0.19433193033485741</v>
      </c>
      <c r="Y288" t="str">
        <f t="shared" si="267"/>
        <v>0,998392392683834+0,341507906937897i</v>
      </c>
      <c r="Z288" s="67">
        <f t="shared" si="281"/>
        <v>1.055184827539732</v>
      </c>
      <c r="AA288" s="67">
        <f t="shared" si="282"/>
        <v>0.32958191793512981</v>
      </c>
      <c r="AB288" s="92" t="str">
        <f t="shared" si="283"/>
        <v>0,13922406080735-0,518224031293576i</v>
      </c>
      <c r="AC288" s="37">
        <f t="shared" si="284"/>
        <v>-5.4069877536670772</v>
      </c>
      <c r="AD288" s="60">
        <f t="shared" si="285"/>
        <v>-74.962215631133432</v>
      </c>
      <c r="AE288" t="str">
        <f t="shared" si="286"/>
        <v>21,0353732052265</v>
      </c>
      <c r="AF288" t="str">
        <f t="shared" si="268"/>
        <v>1+17,0048822173535i</v>
      </c>
      <c r="AG288">
        <f t="shared" si="287"/>
        <v>17.034260160807257</v>
      </c>
      <c r="AH288">
        <f t="shared" si="288"/>
        <v>1.5120573344945787</v>
      </c>
      <c r="AI288" t="str">
        <f t="shared" si="269"/>
        <v>1+0,944715678741862i</v>
      </c>
      <c r="AJ288">
        <f t="shared" si="289"/>
        <v>1.3756771836665378</v>
      </c>
      <c r="AK288">
        <f t="shared" si="290"/>
        <v>0.75697784652898403</v>
      </c>
      <c r="AL288" t="str">
        <f t="shared" si="270"/>
        <v>1-0,0642797601367954i</v>
      </c>
      <c r="AM288">
        <f t="shared" si="291"/>
        <v>1.0020638141172666</v>
      </c>
      <c r="AN288">
        <f t="shared" si="292"/>
        <v>-6.4191446727114257E-2</v>
      </c>
      <c r="AO288" s="58" t="str">
        <f t="shared" si="293"/>
        <v>1,16225965595-1,24379042426763i</v>
      </c>
      <c r="AP288">
        <f t="shared" si="294"/>
        <v>4.6207771903854633</v>
      </c>
      <c r="AQ288" s="60">
        <f t="shared" si="295"/>
        <v>-46.940766835630349</v>
      </c>
      <c r="AR288" t="str">
        <f t="shared" si="271"/>
        <v>-1,05811623246493</v>
      </c>
      <c r="AS288" t="str">
        <f t="shared" si="272"/>
        <v>1+0,931111772967979i</v>
      </c>
      <c r="AT288">
        <f t="shared" si="296"/>
        <v>1.3663707892660664</v>
      </c>
      <c r="AU288">
        <f t="shared" si="297"/>
        <v>0.74974045107516685</v>
      </c>
      <c r="AV288" t="str">
        <f t="shared" si="273"/>
        <v>1+0,931111772967979i</v>
      </c>
      <c r="AW288">
        <f t="shared" si="298"/>
        <v>1.3663707892660664</v>
      </c>
      <c r="AX288">
        <f t="shared" si="299"/>
        <v>0.74974045107516685</v>
      </c>
      <c r="AY288" t="str">
        <f t="shared" si="274"/>
        <v>1-0,0273377978815663i</v>
      </c>
      <c r="AZ288">
        <f t="shared" si="300"/>
        <v>1.0003736078051106</v>
      </c>
      <c r="BA288">
        <f t="shared" si="301"/>
        <v>-2.7330990585382461E-2</v>
      </c>
      <c r="BB288" s="58" t="str">
        <f t="shared" si="302"/>
        <v>-0,552329626710505+0,54320718568749i</v>
      </c>
      <c r="BC288">
        <f t="shared" si="303"/>
        <v>-2.2174593306935213</v>
      </c>
      <c r="BD288" s="60">
        <f t="shared" si="304"/>
        <v>135.47708601270421</v>
      </c>
      <c r="BE288" s="58" t="str">
        <f t="shared" si="305"/>
        <v>0,204605444059765+0,361857996007938i</v>
      </c>
      <c r="BF288" s="37">
        <f t="shared" si="306"/>
        <v>-7.6244470843606083</v>
      </c>
      <c r="BG288" s="60">
        <f t="shared" si="307"/>
        <v>60.514870381570745</v>
      </c>
      <c r="BH288" s="58" t="str">
        <f t="shared" si="308"/>
        <v>0,0336854540399251+1,31833009748855i</v>
      </c>
      <c r="BI288" s="37">
        <f t="shared" si="309"/>
        <v>2.4033178596919376</v>
      </c>
      <c r="BJ288" s="60">
        <f t="shared" si="310"/>
        <v>88.536319177073864</v>
      </c>
      <c r="BK288">
        <f t="shared" si="311"/>
        <v>-7.6244470843606083</v>
      </c>
      <c r="BL288" s="60">
        <f t="shared" si="312"/>
        <v>60.514870381570745</v>
      </c>
      <c r="BN288">
        <f t="shared" si="313"/>
        <v>0</v>
      </c>
      <c r="BO288">
        <f t="shared" si="314"/>
        <v>0</v>
      </c>
    </row>
    <row r="289" spans="13:67" x14ac:dyDescent="0.25">
      <c r="M289" s="66">
        <v>71</v>
      </c>
      <c r="N289" s="36">
        <f t="shared" si="315"/>
        <v>5128.6138399136489</v>
      </c>
      <c r="O289" s="91" t="str">
        <f t="shared" si="263"/>
        <v>13,7404580152672</v>
      </c>
      <c r="P289" s="67" t="str">
        <f t="shared" si="264"/>
        <v>1+34,8019536151548i</v>
      </c>
      <c r="Q289" s="67">
        <f t="shared" si="275"/>
        <v>34.816317660421618</v>
      </c>
      <c r="R289" s="67">
        <f t="shared" si="276"/>
        <v>1.5420702117987566</v>
      </c>
      <c r="S289" s="67" t="str">
        <f t="shared" si="265"/>
        <v>1+0,9667209337543i</v>
      </c>
      <c r="T289" s="67">
        <f t="shared" si="277"/>
        <v>1.3908807870406386</v>
      </c>
      <c r="U289" s="67">
        <f t="shared" si="278"/>
        <v>0.76847868589112478</v>
      </c>
      <c r="V289" t="str">
        <f t="shared" si="266"/>
        <v>1-0,201400194532146i</v>
      </c>
      <c r="W289" s="67">
        <f t="shared" si="279"/>
        <v>1.0200794274749325</v>
      </c>
      <c r="X289" s="67">
        <f t="shared" si="280"/>
        <v>-0.19874153750418713</v>
      </c>
      <c r="Y289" t="str">
        <f t="shared" si="267"/>
        <v>0,998316628485187+0,349462647978017i</v>
      </c>
      <c r="Z289" s="67">
        <f t="shared" si="281"/>
        <v>1.0577146274122518</v>
      </c>
      <c r="AA289" s="67">
        <f t="shared" si="282"/>
        <v>0.3367210684385834</v>
      </c>
      <c r="AB289" s="92" t="str">
        <f t="shared" si="283"/>
        <v>0,13698634594828-0,511356985092486i</v>
      </c>
      <c r="AC289" s="37">
        <f t="shared" si="284"/>
        <v>-5.5245248011612489</v>
      </c>
      <c r="AD289" s="60">
        <f t="shared" si="285"/>
        <v>-75.003276909189864</v>
      </c>
      <c r="AE289" t="str">
        <f t="shared" si="286"/>
        <v>21,0353732052265</v>
      </c>
      <c r="AF289" t="str">
        <f t="shared" si="268"/>
        <v>1+17,4009768075774i</v>
      </c>
      <c r="AG289">
        <f t="shared" si="287"/>
        <v>17.429687141708726</v>
      </c>
      <c r="AH289">
        <f t="shared" si="288"/>
        <v>1.513391427699724</v>
      </c>
      <c r="AI289" t="str">
        <f t="shared" si="269"/>
        <v>1+0,9667209337543i</v>
      </c>
      <c r="AJ289">
        <f t="shared" si="289"/>
        <v>1.3908807870406386</v>
      </c>
      <c r="AK289">
        <f t="shared" si="290"/>
        <v>0.76847868589112478</v>
      </c>
      <c r="AL289" t="str">
        <f t="shared" si="270"/>
        <v>1-0,0657770280934703i</v>
      </c>
      <c r="AM289">
        <f t="shared" si="291"/>
        <v>1.002160973808504</v>
      </c>
      <c r="AN289">
        <f t="shared" si="292"/>
        <v>-6.5682409587162635E-2</v>
      </c>
      <c r="AO289" s="58" t="str">
        <f t="shared" si="293"/>
        <v>1,15917667535867-1,21911515125093i</v>
      </c>
      <c r="AP289">
        <f t="shared" si="294"/>
        <v>4.5177604865751384</v>
      </c>
      <c r="AQ289" s="60">
        <f t="shared" si="295"/>
        <v>-46.443681068744951</v>
      </c>
      <c r="AR289" t="str">
        <f t="shared" si="271"/>
        <v>-1,05811623246493</v>
      </c>
      <c r="AS289" t="str">
        <f t="shared" si="272"/>
        <v>1+0,952800152308238i</v>
      </c>
      <c r="AT289">
        <f t="shared" si="296"/>
        <v>1.3812415177073853</v>
      </c>
      <c r="AU289">
        <f t="shared" si="297"/>
        <v>0.76123252648511031</v>
      </c>
      <c r="AV289" t="str">
        <f t="shared" si="273"/>
        <v>1+0,952800152308238i</v>
      </c>
      <c r="AW289">
        <f t="shared" si="298"/>
        <v>1.3812415177073853</v>
      </c>
      <c r="AX289">
        <f t="shared" si="299"/>
        <v>0.76123252648511031</v>
      </c>
      <c r="AY289" t="str">
        <f t="shared" si="274"/>
        <v>1-0,0267155136288336i</v>
      </c>
      <c r="AZ289">
        <f t="shared" si="300"/>
        <v>1.0003567956826467</v>
      </c>
      <c r="BA289">
        <f t="shared" si="301"/>
        <v>-2.6709160562255037E-2</v>
      </c>
      <c r="BB289" s="58" t="str">
        <f t="shared" si="302"/>
        <v>-0,540500660612701+0,543257230383792i</v>
      </c>
      <c r="BC289">
        <f t="shared" si="303"/>
        <v>-2.3116264067508649</v>
      </c>
      <c r="BD289" s="60">
        <f t="shared" si="304"/>
        <v>134.85426682976802</v>
      </c>
      <c r="BE289" s="58" t="str">
        <f t="shared" si="305"/>
        <v>0,203757168978785+0,350807611151666i</v>
      </c>
      <c r="BF289" s="37">
        <f t="shared" si="306"/>
        <v>-7.8361512079121143</v>
      </c>
      <c r="BG289" s="60">
        <f t="shared" si="307"/>
        <v>59.85098992057808</v>
      </c>
      <c r="BH289" s="58" t="str">
        <f t="shared" si="308"/>
        <v>0,0357573617893023+1,28866365479492i</v>
      </c>
      <c r="BI289" s="37">
        <f t="shared" si="309"/>
        <v>2.2061340798242499</v>
      </c>
      <c r="BJ289" s="60">
        <f t="shared" si="310"/>
        <v>88.410585761023071</v>
      </c>
      <c r="BK289">
        <f t="shared" si="311"/>
        <v>-7.8361512079121143</v>
      </c>
      <c r="BL289" s="60">
        <f t="shared" si="312"/>
        <v>59.85098992057808</v>
      </c>
      <c r="BN289">
        <f t="shared" si="313"/>
        <v>0</v>
      </c>
      <c r="BO289">
        <f t="shared" si="314"/>
        <v>0</v>
      </c>
    </row>
    <row r="290" spans="13:67" x14ac:dyDescent="0.25">
      <c r="M290" s="66">
        <v>72</v>
      </c>
      <c r="N290" s="36">
        <f t="shared" si="315"/>
        <v>5248.0746024977261</v>
      </c>
      <c r="O290" s="91" t="str">
        <f t="shared" si="263"/>
        <v>13,7404580152672</v>
      </c>
      <c r="P290" s="67" t="str">
        <f t="shared" si="264"/>
        <v>1+35,6125952520678i</v>
      </c>
      <c r="Q290" s="67">
        <f t="shared" si="275"/>
        <v>35.626632462072557</v>
      </c>
      <c r="R290" s="67">
        <f t="shared" si="276"/>
        <v>1.54272375052587</v>
      </c>
      <c r="S290" s="67" t="str">
        <f t="shared" si="265"/>
        <v>1+0,989238757001884i</v>
      </c>
      <c r="T290" s="67">
        <f t="shared" si="277"/>
        <v>1.406624796580322</v>
      </c>
      <c r="U290" s="67">
        <f t="shared" si="278"/>
        <v>0.77998848696441792</v>
      </c>
      <c r="V290" t="str">
        <f t="shared" si="266"/>
        <v>1-0,206091407708726i</v>
      </c>
      <c r="W290" s="67">
        <f t="shared" si="279"/>
        <v>1.0210159980780733</v>
      </c>
      <c r="X290" s="67">
        <f t="shared" si="280"/>
        <v>-0.20324576275545603</v>
      </c>
      <c r="Y290" t="str">
        <f t="shared" si="267"/>
        <v>0,998237293629864+0,357602678739782i</v>
      </c>
      <c r="Z290" s="67">
        <f t="shared" si="281"/>
        <v>1.0603571899295741</v>
      </c>
      <c r="AA290" s="67">
        <f t="shared" si="282"/>
        <v>0.34399144056968189</v>
      </c>
      <c r="AB290" s="92" t="str">
        <f t="shared" si="283"/>
        <v>0,134709138973495-0,504710272648354i</v>
      </c>
      <c r="AC290" s="37">
        <f t="shared" si="284"/>
        <v>-5.6402986691873522</v>
      </c>
      <c r="AD290" s="60">
        <f t="shared" si="285"/>
        <v>-75.055893630942649</v>
      </c>
      <c r="AE290" t="str">
        <f t="shared" si="286"/>
        <v>21,0353732052265</v>
      </c>
      <c r="AF290" t="str">
        <f t="shared" si="268"/>
        <v>1+17,8062976260339i</v>
      </c>
      <c r="AG290">
        <f t="shared" si="287"/>
        <v>17.834355473268456</v>
      </c>
      <c r="AH290">
        <f t="shared" si="288"/>
        <v>1.5146953509327936</v>
      </c>
      <c r="AI290" t="str">
        <f t="shared" si="269"/>
        <v>1+0,989238757001884i</v>
      </c>
      <c r="AJ290">
        <f t="shared" si="289"/>
        <v>1.406624796580322</v>
      </c>
      <c r="AK290">
        <f t="shared" si="290"/>
        <v>0.77998848696441792</v>
      </c>
      <c r="AL290" t="str">
        <f t="shared" si="270"/>
        <v>1-0,0673091719011025i</v>
      </c>
      <c r="AM290">
        <f t="shared" si="291"/>
        <v>1.0022627023999309</v>
      </c>
      <c r="AN290">
        <f t="shared" si="292"/>
        <v>-6.7207798702819302E-2</v>
      </c>
      <c r="AO290" s="58" t="str">
        <f t="shared" si="293"/>
        <v>1,15623155868186-1,19507036696775i</v>
      </c>
      <c r="AP290">
        <f t="shared" si="294"/>
        <v>4.4170528203861981</v>
      </c>
      <c r="AQ290" s="60">
        <f t="shared" si="295"/>
        <v>-45.946325700716564</v>
      </c>
      <c r="AR290" t="str">
        <f t="shared" si="271"/>
        <v>-1,05811623246493</v>
      </c>
      <c r="AS290" t="str">
        <f t="shared" si="272"/>
        <v>1+0,974993718901056i</v>
      </c>
      <c r="AT290">
        <f t="shared" si="296"/>
        <v>1.396643387517555</v>
      </c>
      <c r="AU290">
        <f t="shared" si="297"/>
        <v>0.77273739150897081</v>
      </c>
      <c r="AV290" t="str">
        <f t="shared" si="273"/>
        <v>1+0,974993718901056i</v>
      </c>
      <c r="AW290">
        <f t="shared" si="298"/>
        <v>1.396643387517555</v>
      </c>
      <c r="AX290">
        <f t="shared" si="299"/>
        <v>0.77273739150897081</v>
      </c>
      <c r="AY290" t="str">
        <f t="shared" si="274"/>
        <v>1-0,0261073942950484i</v>
      </c>
      <c r="AZ290">
        <f t="shared" si="300"/>
        <v>1.0003407399665762</v>
      </c>
      <c r="BA290">
        <f t="shared" si="301"/>
        <v>-2.6101465154132059E-2</v>
      </c>
      <c r="BB290" s="58" t="str">
        <f t="shared" si="302"/>
        <v>-0,528645351942295+0,543050555360928i</v>
      </c>
      <c r="BC290">
        <f t="shared" si="303"/>
        <v>-2.4080839265346348</v>
      </c>
      <c r="BD290" s="60">
        <f t="shared" si="304"/>
        <v>134.22990500214812</v>
      </c>
      <c r="BE290" s="58" t="str">
        <f t="shared" si="305"/>
        <v>0,202869833675567+0,33996661244483i</v>
      </c>
      <c r="BF290" s="37">
        <f t="shared" si="306"/>
        <v>-8.0483825957219839</v>
      </c>
      <c r="BG290" s="60">
        <f t="shared" si="307"/>
        <v>59.174011371205545</v>
      </c>
      <c r="BH290" s="58" t="str">
        <f t="shared" si="308"/>
        <v>0,0377471872110645+1,25966058480949i</v>
      </c>
      <c r="BI290" s="37">
        <f t="shared" si="309"/>
        <v>2.0089688938515677</v>
      </c>
      <c r="BJ290" s="60">
        <f t="shared" si="310"/>
        <v>88.283579301431573</v>
      </c>
      <c r="BK290">
        <f t="shared" si="311"/>
        <v>-8.0483825957219839</v>
      </c>
      <c r="BL290" s="60">
        <f t="shared" si="312"/>
        <v>59.174011371205545</v>
      </c>
      <c r="BN290">
        <f t="shared" si="313"/>
        <v>0</v>
      </c>
      <c r="BO290">
        <f t="shared" si="314"/>
        <v>0</v>
      </c>
    </row>
    <row r="291" spans="13:67" x14ac:dyDescent="0.25">
      <c r="M291" s="66">
        <v>73</v>
      </c>
      <c r="N291" s="36">
        <f t="shared" si="315"/>
        <v>5370.3179637025269</v>
      </c>
      <c r="O291" s="91" t="str">
        <f t="shared" si="263"/>
        <v>13,7404580152672</v>
      </c>
      <c r="P291" s="67" t="str">
        <f t="shared" si="264"/>
        <v>1+36,4421191583718i</v>
      </c>
      <c r="Q291" s="67">
        <f t="shared" si="275"/>
        <v>36.455836964099028</v>
      </c>
      <c r="R291" s="67">
        <f t="shared" si="276"/>
        <v>1.5433624360741014</v>
      </c>
      <c r="S291" s="67" t="str">
        <f t="shared" si="265"/>
        <v>1+1,01228108773255i</v>
      </c>
      <c r="T291" s="67">
        <f t="shared" si="277"/>
        <v>1.4229241021857051</v>
      </c>
      <c r="U291" s="67">
        <f t="shared" si="278"/>
        <v>0.79150115533587651</v>
      </c>
      <c r="V291" t="str">
        <f t="shared" si="266"/>
        <v>1-0,210891893277614i</v>
      </c>
      <c r="W291" s="67">
        <f t="shared" si="279"/>
        <v>1.0219957879806632</v>
      </c>
      <c r="X291" s="67">
        <f t="shared" si="280"/>
        <v>-0.20784626288733701</v>
      </c>
      <c r="Y291" t="str">
        <f t="shared" si="267"/>
        <v>0,998154219837999+0,365932315175244i</v>
      </c>
      <c r="Z291" s="67">
        <f t="shared" si="281"/>
        <v>1.0631172587583735</v>
      </c>
      <c r="AA291" s="67">
        <f t="shared" si="282"/>
        <v>0.35139395594188211</v>
      </c>
      <c r="AB291" s="92" t="str">
        <f t="shared" si="283"/>
        <v>0,132389796780399-0,498277712606241i</v>
      </c>
      <c r="AC291" s="37">
        <f t="shared" si="284"/>
        <v>-5.7543238170008308</v>
      </c>
      <c r="AD291" s="60">
        <f t="shared" si="285"/>
        <v>-75.120582438487986</v>
      </c>
      <c r="AE291" t="str">
        <f t="shared" si="286"/>
        <v>21,0353732052265</v>
      </c>
      <c r="AF291" t="str">
        <f t="shared" si="268"/>
        <v>1+18,2210595791859i</v>
      </c>
      <c r="AG291">
        <f t="shared" si="287"/>
        <v>18.24847972265751</v>
      </c>
      <c r="AH291">
        <f t="shared" si="288"/>
        <v>1.5159697778054999</v>
      </c>
      <c r="AI291" t="str">
        <f t="shared" si="269"/>
        <v>1+1,01228108773255i</v>
      </c>
      <c r="AJ291">
        <f t="shared" si="289"/>
        <v>1.4229241021857051</v>
      </c>
      <c r="AK291">
        <f t="shared" si="290"/>
        <v>0.79150115533587651</v>
      </c>
      <c r="AL291" t="str">
        <f t="shared" si="270"/>
        <v>1-0,0688770039226188i</v>
      </c>
      <c r="AM291">
        <f t="shared" si="291"/>
        <v>1.0023692142466052</v>
      </c>
      <c r="AN291">
        <f t="shared" si="292"/>
        <v>-6.8768394445252928E-2</v>
      </c>
      <c r="AO291" s="58" t="str">
        <f t="shared" si="293"/>
        <v>1,15341817923936-1,17164437735978i</v>
      </c>
      <c r="AP291">
        <f t="shared" si="294"/>
        <v>4.3186597542148437</v>
      </c>
      <c r="AQ291" s="60">
        <f t="shared" si="295"/>
        <v>-45.449133222769753</v>
      </c>
      <c r="AR291" t="str">
        <f t="shared" si="271"/>
        <v>-1,05811623246493</v>
      </c>
      <c r="AS291" t="str">
        <f t="shared" si="272"/>
        <v>1+0,997704240069201i</v>
      </c>
      <c r="AT291">
        <f t="shared" si="296"/>
        <v>1.4125911477324435</v>
      </c>
      <c r="AU291">
        <f t="shared" si="297"/>
        <v>0.78424896479531592</v>
      </c>
      <c r="AV291" t="str">
        <f t="shared" si="273"/>
        <v>1+0,997704240069201i</v>
      </c>
      <c r="AW291">
        <f t="shared" si="298"/>
        <v>1.4125911477324435</v>
      </c>
      <c r="AX291">
        <f t="shared" si="299"/>
        <v>0.78424896479531592</v>
      </c>
      <c r="AY291" t="str">
        <f t="shared" si="274"/>
        <v>1-0,0255131174472907i</v>
      </c>
      <c r="AZ291">
        <f t="shared" si="300"/>
        <v>1.0003254066362002</v>
      </c>
      <c r="BA291">
        <f t="shared" si="301"/>
        <v>-2.5507583949237363E-2</v>
      </c>
      <c r="BB291" s="58" t="str">
        <f t="shared" si="302"/>
        <v>-0,516776214653472+0,542585664238443i</v>
      </c>
      <c r="BC291">
        <f t="shared" si="303"/>
        <v>-2.5068360821502953</v>
      </c>
      <c r="BD291" s="60">
        <f t="shared" si="304"/>
        <v>133.60436732385759</v>
      </c>
      <c r="BE291" s="58" t="str">
        <f t="shared" si="305"/>
        <v>0,201942445630752+0,329330875991329i</v>
      </c>
      <c r="BF291" s="37">
        <f t="shared" si="306"/>
        <v>-8.2611598991511315</v>
      </c>
      <c r="BG291" s="60">
        <f t="shared" si="307"/>
        <v>58.483784885369609</v>
      </c>
      <c r="BH291" s="58" t="str">
        <f t="shared" si="308"/>
        <v>0,0396583621611768+1,2313061151793i</v>
      </c>
      <c r="BI291" s="37">
        <f t="shared" si="309"/>
        <v>1.8118236720645842</v>
      </c>
      <c r="BJ291" s="60">
        <f t="shared" si="310"/>
        <v>88.155234101087828</v>
      </c>
      <c r="BK291">
        <f t="shared" si="311"/>
        <v>-8.2611598991511315</v>
      </c>
      <c r="BL291" s="60">
        <f t="shared" si="312"/>
        <v>58.483784885369609</v>
      </c>
      <c r="BN291">
        <f t="shared" si="313"/>
        <v>0</v>
      </c>
      <c r="BO291">
        <f t="shared" si="314"/>
        <v>0</v>
      </c>
    </row>
    <row r="292" spans="13:67" x14ac:dyDescent="0.25">
      <c r="M292" s="66">
        <v>74</v>
      </c>
      <c r="N292" s="36">
        <f t="shared" si="315"/>
        <v>5495.4087385762541</v>
      </c>
      <c r="O292" s="91" t="str">
        <f t="shared" si="263"/>
        <v>13,7404580152672</v>
      </c>
      <c r="P292" s="67" t="str">
        <f t="shared" si="264"/>
        <v>1+37,2909651586221i</v>
      </c>
      <c r="Q292" s="67">
        <f t="shared" si="275"/>
        <v>37.304370822486305</v>
      </c>
      <c r="R292" s="67">
        <f t="shared" si="276"/>
        <v>1.5439866049975322</v>
      </c>
      <c r="S292" s="67" t="str">
        <f t="shared" si="265"/>
        <v>1+1,03586014329506i</v>
      </c>
      <c r="T292" s="67">
        <f t="shared" si="277"/>
        <v>1.4397938173458249</v>
      </c>
      <c r="U292" s="67">
        <f t="shared" si="278"/>
        <v>0.80301058899903521</v>
      </c>
      <c r="V292" t="str">
        <f t="shared" si="266"/>
        <v>1-0,215804196519804i</v>
      </c>
      <c r="W292" s="67">
        <f t="shared" si="279"/>
        <v>1.0230207481940716</v>
      </c>
      <c r="X292" s="67">
        <f t="shared" si="280"/>
        <v>-0.21254469783887742</v>
      </c>
      <c r="Y292" t="str">
        <f t="shared" si="267"/>
        <v>0,998067230898943+0,3744559737679i</v>
      </c>
      <c r="Z292" s="67">
        <f t="shared" si="281"/>
        <v>1.0659997531354077</v>
      </c>
      <c r="AA292" s="67">
        <f t="shared" si="282"/>
        <v>0.35892944413922834</v>
      </c>
      <c r="AB292" s="92" t="str">
        <f t="shared" si="283"/>
        <v>0,130025748664062-0,4920531128107i</v>
      </c>
      <c r="AC292" s="37">
        <f t="shared" si="284"/>
        <v>-5.866617360908446</v>
      </c>
      <c r="AD292" s="60">
        <f t="shared" si="285"/>
        <v>-75.197854873337391</v>
      </c>
      <c r="AE292" t="str">
        <f t="shared" si="286"/>
        <v>21,0353732052265</v>
      </c>
      <c r="AF292" t="str">
        <f t="shared" si="268"/>
        <v>1+18,6454825793111i</v>
      </c>
      <c r="AG292">
        <f t="shared" si="287"/>
        <v>18.67227947025734</v>
      </c>
      <c r="AH292">
        <f t="shared" si="288"/>
        <v>1.5172153674674367</v>
      </c>
      <c r="AI292" t="str">
        <f t="shared" si="269"/>
        <v>1+1,03586014329506i</v>
      </c>
      <c r="AJ292">
        <f t="shared" si="289"/>
        <v>1.4397938173458249</v>
      </c>
      <c r="AK292">
        <f t="shared" si="290"/>
        <v>0.80301058899903521</v>
      </c>
      <c r="AL292" t="str">
        <f t="shared" si="270"/>
        <v>1-0,0704813554433099i</v>
      </c>
      <c r="AM292">
        <f t="shared" si="291"/>
        <v>1.0024807337126864</v>
      </c>
      <c r="AN292">
        <f t="shared" si="292"/>
        <v>-7.0364993839748979E-2</v>
      </c>
      <c r="AO292" s="58" t="str">
        <f t="shared" si="293"/>
        <v>1,1507306792612-1,14882574677279i</v>
      </c>
      <c r="AP292">
        <f t="shared" si="294"/>
        <v>4.2225844369842953</v>
      </c>
      <c r="AQ292" s="60">
        <f t="shared" si="295"/>
        <v>-44.95253668679689</v>
      </c>
      <c r="AR292" t="str">
        <f t="shared" si="271"/>
        <v>-1,05811623246493</v>
      </c>
      <c r="AS292" t="str">
        <f t="shared" si="272"/>
        <v>1+1,02094375723161i</v>
      </c>
      <c r="AT292">
        <f t="shared" si="296"/>
        <v>1.429099770985286</v>
      </c>
      <c r="AU292">
        <f t="shared" si="297"/>
        <v>0.79576114723833613</v>
      </c>
      <c r="AV292" t="str">
        <f t="shared" si="273"/>
        <v>1+1,02094375723161i</v>
      </c>
      <c r="AW292">
        <f t="shared" si="298"/>
        <v>1.429099770985286</v>
      </c>
      <c r="AX292">
        <f t="shared" si="299"/>
        <v>0.79576114723833613</v>
      </c>
      <c r="AY292" t="str">
        <f t="shared" si="274"/>
        <v>1-0,0249323679921096i</v>
      </c>
      <c r="AZ292">
        <f t="shared" si="300"/>
        <v>1.0003107631999637</v>
      </c>
      <c r="BA292">
        <f t="shared" si="301"/>
        <v>-2.4927203740525764E-2</v>
      </c>
      <c r="BB292" s="58" t="str">
        <f t="shared" si="302"/>
        <v>-0,504905821231208+0,541861789462141i</v>
      </c>
      <c r="BC292">
        <f t="shared" si="303"/>
        <v>-2.6078846188165059</v>
      </c>
      <c r="BD292" s="60">
        <f t="shared" si="304"/>
        <v>132.97802119336004</v>
      </c>
      <c r="BE292" s="58" t="str">
        <f t="shared" si="305"/>
        <v>0,200974022807592+0,318896465860322i</v>
      </c>
      <c r="BF292" s="37">
        <f t="shared" si="306"/>
        <v>-8.4745019797249483</v>
      </c>
      <c r="BG292" s="60">
        <f t="shared" si="307"/>
        <v>57.780166320022602</v>
      </c>
      <c r="BH292" s="58" t="str">
        <f t="shared" si="308"/>
        <v>0,0414941562981626+1,20358579217933i</v>
      </c>
      <c r="BI292" s="37">
        <f t="shared" si="309"/>
        <v>1.6146998181677883</v>
      </c>
      <c r="BJ292" s="60">
        <f t="shared" si="310"/>
        <v>88.025484506563146</v>
      </c>
      <c r="BK292">
        <f t="shared" si="311"/>
        <v>-8.4745019797249483</v>
      </c>
      <c r="BL292" s="60">
        <f t="shared" si="312"/>
        <v>57.780166320022602</v>
      </c>
      <c r="BN292">
        <f t="shared" si="313"/>
        <v>0</v>
      </c>
      <c r="BO292">
        <f t="shared" si="314"/>
        <v>0</v>
      </c>
    </row>
    <row r="293" spans="13:67" x14ac:dyDescent="0.25">
      <c r="M293" s="66">
        <v>75</v>
      </c>
      <c r="N293" s="36">
        <f t="shared" si="315"/>
        <v>5623.4132519034993</v>
      </c>
      <c r="O293" s="91" t="str">
        <f t="shared" si="263"/>
        <v>13,7404580152672</v>
      </c>
      <c r="P293" s="67" t="str">
        <f t="shared" si="264"/>
        <v>1+38,1595833222037i</v>
      </c>
      <c r="Q293" s="67">
        <f t="shared" si="275"/>
        <v>38.172683941847822</v>
      </c>
      <c r="R293" s="67">
        <f t="shared" si="276"/>
        <v>1.5445965862923297</v>
      </c>
      <c r="S293" s="67" t="str">
        <f t="shared" si="265"/>
        <v>1+1,05998842561677i</v>
      </c>
      <c r="T293" s="67">
        <f t="shared" si="277"/>
        <v>1.4572492794445013</v>
      </c>
      <c r="U293" s="67">
        <f t="shared" si="278"/>
        <v>0.81451069451359437</v>
      </c>
      <c r="V293" t="str">
        <f t="shared" si="266"/>
        <v>1-0,220830922003494i</v>
      </c>
      <c r="W293" s="67">
        <f t="shared" si="279"/>
        <v>1.0240929138085633</v>
      </c>
      <c r="X293" s="67">
        <f t="shared" si="280"/>
        <v>-0.21734272864289095</v>
      </c>
      <c r="Y293" t="str">
        <f t="shared" si="267"/>
        <v>0,997976142297492+0,383178173874357i</v>
      </c>
      <c r="Z293" s="67">
        <f t="shared" si="281"/>
        <v>1.0690097724196308</v>
      </c>
      <c r="AA293" s="67">
        <f t="shared" si="282"/>
        <v>0.36659863627990097</v>
      </c>
      <c r="AB293" s="92" t="str">
        <f t="shared" si="283"/>
        <v>0,127614500825867-0,486030265929972i</v>
      </c>
      <c r="AC293" s="37">
        <f t="shared" si="284"/>
        <v>-5.9771990420615975</v>
      </c>
      <c r="AD293" s="60">
        <f t="shared" si="285"/>
        <v>-75.288215974150958</v>
      </c>
      <c r="AE293" t="str">
        <f t="shared" si="286"/>
        <v>21,0353732052265</v>
      </c>
      <c r="AF293" t="str">
        <f t="shared" si="268"/>
        <v>1+19,0797916611019i</v>
      </c>
      <c r="AG293">
        <f t="shared" si="287"/>
        <v>19.105979426113009</v>
      </c>
      <c r="AH293">
        <f t="shared" si="288"/>
        <v>1.5184327648777727</v>
      </c>
      <c r="AI293" t="str">
        <f t="shared" si="269"/>
        <v>1+1,05998842561677i</v>
      </c>
      <c r="AJ293">
        <f t="shared" si="289"/>
        <v>1.4572492794445013</v>
      </c>
      <c r="AK293">
        <f t="shared" si="290"/>
        <v>0.81451069451359437</v>
      </c>
      <c r="AL293" t="str">
        <f t="shared" si="270"/>
        <v>1-0,0721230771115879i</v>
      </c>
      <c r="AM293">
        <f t="shared" si="291"/>
        <v>1.0025974956342369</v>
      </c>
      <c r="AN293">
        <f t="shared" si="292"/>
        <v>-7.1998410846638966E-2</v>
      </c>
      <c r="AO293" s="58" t="str">
        <f t="shared" si="293"/>
        <v>1,14816345838024-1,12660329646754i</v>
      </c>
      <c r="AP293">
        <f t="shared" si="294"/>
        <v>4.1288276109645077</v>
      </c>
      <c r="AQ293" s="60">
        <f t="shared" si="295"/>
        <v>-44.456968811139681</v>
      </c>
      <c r="AR293" t="str">
        <f t="shared" si="271"/>
        <v>-1,05811623246493</v>
      </c>
      <c r="AS293" t="str">
        <f t="shared" si="272"/>
        <v>1+1,04472459228789i</v>
      </c>
      <c r="AT293">
        <f t="shared" si="296"/>
        <v>1.4461844535643087</v>
      </c>
      <c r="AU293">
        <f t="shared" si="297"/>
        <v>0.80726783811876746</v>
      </c>
      <c r="AV293" t="str">
        <f t="shared" si="273"/>
        <v>1+1,04472459228789i</v>
      </c>
      <c r="AW293">
        <f t="shared" si="298"/>
        <v>1.4461844535643087</v>
      </c>
      <c r="AX293">
        <f t="shared" si="299"/>
        <v>0.80726783811876746</v>
      </c>
      <c r="AY293" t="str">
        <f t="shared" si="274"/>
        <v>1-0,0243648380084568i</v>
      </c>
      <c r="AZ293">
        <f t="shared" si="300"/>
        <v>1.0002967786268124</v>
      </c>
      <c r="BA293">
        <f t="shared" si="301"/>
        <v>-2.4360018367591867E-2</v>
      </c>
      <c r="BB293" s="58" t="str">
        <f t="shared" si="302"/>
        <v>-0,49304674948224+0,540878894929829i</v>
      </c>
      <c r="BC293">
        <f t="shared" si="303"/>
        <v>-2.7112288292612421</v>
      </c>
      <c r="BD293" s="60">
        <f t="shared" si="304"/>
        <v>132.35123369782028</v>
      </c>
      <c r="BE293" s="58" t="str">
        <f t="shared" si="305"/>
        <v>0,199963598319662+0,308659632950478i</v>
      </c>
      <c r="BF293" s="37">
        <f t="shared" si="306"/>
        <v>-8.6884278713228387</v>
      </c>
      <c r="BG293" s="60">
        <f t="shared" si="307"/>
        <v>57.063017723669311</v>
      </c>
      <c r="BH293" s="58" t="str">
        <f t="shared" si="308"/>
        <v>0,0432576849890012+1,17648547584681i</v>
      </c>
      <c r="BI293" s="37">
        <f t="shared" si="309"/>
        <v>1.417598781703252</v>
      </c>
      <c r="BJ293" s="60">
        <f t="shared" si="310"/>
        <v>87.894264886680631</v>
      </c>
      <c r="BK293">
        <f t="shared" si="311"/>
        <v>-8.6884278713228387</v>
      </c>
      <c r="BL293" s="60">
        <f t="shared" si="312"/>
        <v>57.063017723669311</v>
      </c>
      <c r="BN293">
        <f t="shared" si="313"/>
        <v>0</v>
      </c>
      <c r="BO293">
        <f t="shared" si="314"/>
        <v>0</v>
      </c>
    </row>
    <row r="294" spans="13:67" x14ac:dyDescent="0.25">
      <c r="M294" s="66">
        <v>76</v>
      </c>
      <c r="N294" s="36">
        <f t="shared" si="315"/>
        <v>5754.399373371567</v>
      </c>
      <c r="O294" s="91" t="str">
        <f t="shared" si="263"/>
        <v>13,7404580152672</v>
      </c>
      <c r="P294" s="67" t="str">
        <f t="shared" si="264"/>
        <v>1+39,0484342019645i</v>
      </c>
      <c r="Q294" s="67">
        <f t="shared" si="275"/>
        <v>39.061236713974523</v>
      </c>
      <c r="R294" s="67">
        <f t="shared" si="276"/>
        <v>1.5451927015619298</v>
      </c>
      <c r="S294" s="67" t="str">
        <f t="shared" si="265"/>
        <v>1+1,08467872783235i</v>
      </c>
      <c r="T294" s="67">
        <f t="shared" si="277"/>
        <v>1.4753060504898654</v>
      </c>
      <c r="U294" s="67">
        <f t="shared" si="278"/>
        <v>0.82599540310980835</v>
      </c>
      <c r="V294" t="str">
        <f t="shared" si="266"/>
        <v>1-0,225974734965073i</v>
      </c>
      <c r="W294" s="67">
        <f t="shared" si="279"/>
        <v>1.0252144072546654</v>
      </c>
      <c r="X294" s="67">
        <f t="shared" si="280"/>
        <v>-0.22224201522539802</v>
      </c>
      <c r="Y294" t="str">
        <f t="shared" si="267"/>
        <v>0,997880760822511+0,392103540120565i</v>
      </c>
      <c r="Z294" s="67">
        <f t="shared" si="281"/>
        <v>1.0721526006100033</v>
      </c>
      <c r="AA294" s="67">
        <f t="shared" si="282"/>
        <v>0.37440215845244273</v>
      </c>
      <c r="AB294" s="92" t="str">
        <f t="shared" si="283"/>
        <v>0,125153641384483-0,480202945440462i</v>
      </c>
      <c r="AC294" s="37">
        <f t="shared" si="284"/>
        <v>-6.0860911805791309</v>
      </c>
      <c r="AD294" s="60">
        <f t="shared" si="285"/>
        <v>-75.392162861327918</v>
      </c>
      <c r="AE294" t="str">
        <f t="shared" si="286"/>
        <v>21,0353732052265</v>
      </c>
      <c r="AF294" t="str">
        <f t="shared" si="268"/>
        <v>1+19,5242171009823i</v>
      </c>
      <c r="AG294">
        <f t="shared" si="287"/>
        <v>19.549809549105319</v>
      </c>
      <c r="AH294">
        <f t="shared" si="288"/>
        <v>1.5196226010745302</v>
      </c>
      <c r="AI294" t="str">
        <f t="shared" si="269"/>
        <v>1+1,08467872783235i</v>
      </c>
      <c r="AJ294">
        <f t="shared" si="289"/>
        <v>1.4753060504898654</v>
      </c>
      <c r="AK294">
        <f t="shared" si="290"/>
        <v>0.82599540310980835</v>
      </c>
      <c r="AL294" t="str">
        <f t="shared" si="270"/>
        <v>1-0,0738030393900122i</v>
      </c>
      <c r="AM294">
        <f t="shared" si="291"/>
        <v>1.0027197458029855</v>
      </c>
      <c r="AN294">
        <f t="shared" si="292"/>
        <v>-7.3669476641356174E-2</v>
      </c>
      <c r="AO294" s="58" t="str">
        <f t="shared" si="293"/>
        <v>1,14571116259096-1,10496610296987i</v>
      </c>
      <c r="AP294">
        <f t="shared" si="294"/>
        <v>4.037387628965881</v>
      </c>
      <c r="AQ294" s="60">
        <f t="shared" si="295"/>
        <v>-43.962861089351094</v>
      </c>
      <c r="AR294" t="str">
        <f t="shared" si="271"/>
        <v>-1,05811623246493</v>
      </c>
      <c r="AS294" t="str">
        <f t="shared" si="272"/>
        <v>1+1,06905935415156i</v>
      </c>
      <c r="AT294">
        <f t="shared" si="296"/>
        <v>1.4638606158712484</v>
      </c>
      <c r="AU294">
        <f t="shared" si="297"/>
        <v>0.81876295125524445</v>
      </c>
      <c r="AV294" t="str">
        <f t="shared" si="273"/>
        <v>1+1,06905935415156i</v>
      </c>
      <c r="AW294">
        <f t="shared" si="298"/>
        <v>1.4638606158712484</v>
      </c>
      <c r="AX294">
        <f t="shared" si="299"/>
        <v>0.81876295125524445</v>
      </c>
      <c r="AY294" t="str">
        <f t="shared" si="274"/>
        <v>1-0,0238102265844228i</v>
      </c>
      <c r="AZ294">
        <f t="shared" si="300"/>
        <v>1.0002834232806228</v>
      </c>
      <c r="BA294">
        <f t="shared" si="301"/>
        <v>-2.380572856178444E-2</v>
      </c>
      <c r="BB294" s="58" t="str">
        <f t="shared" si="302"/>
        <v>-0,481211529278173+0,539637673948054i</v>
      </c>
      <c r="BC294">
        <f t="shared" si="303"/>
        <v>-2.816865558424086</v>
      </c>
      <c r="BD294" s="60">
        <f t="shared" si="304"/>
        <v>131.72437069657465</v>
      </c>
      <c r="BE294" s="58" t="str">
        <f t="shared" si="305"/>
        <v>0,198910225335136+0,298616813662139i</v>
      </c>
      <c r="BF294" s="37">
        <f t="shared" si="306"/>
        <v>-8.9029567390032192</v>
      </c>
      <c r="BG294" s="60">
        <f t="shared" si="307"/>
        <v>56.332207835246749</v>
      </c>
      <c r="BH294" s="58" t="str">
        <f t="shared" si="308"/>
        <v>0,0449519169366371+1,14999133500758i</v>
      </c>
      <c r="BI294" s="37">
        <f t="shared" si="309"/>
        <v>1.220522070541793</v>
      </c>
      <c r="BJ294" s="60">
        <f t="shared" si="310"/>
        <v>87.761509607223573</v>
      </c>
      <c r="BK294">
        <f t="shared" si="311"/>
        <v>-8.9029567390032192</v>
      </c>
      <c r="BL294" s="60">
        <f t="shared" si="312"/>
        <v>56.332207835246749</v>
      </c>
      <c r="BN294">
        <f t="shared" si="313"/>
        <v>0</v>
      </c>
      <c r="BO294">
        <f t="shared" si="314"/>
        <v>0</v>
      </c>
    </row>
    <row r="295" spans="13:67" x14ac:dyDescent="0.25">
      <c r="M295" s="66">
        <v>77</v>
      </c>
      <c r="N295" s="36">
        <f t="shared" si="315"/>
        <v>5888.4365535558973</v>
      </c>
      <c r="O295" s="91" t="str">
        <f t="shared" si="263"/>
        <v>13,7404580152672</v>
      </c>
      <c r="P295" s="67" t="str">
        <f t="shared" si="264"/>
        <v>1+39,9579890784065i</v>
      </c>
      <c r="Q295" s="67">
        <f t="shared" si="275"/>
        <v>39.97050026194384</v>
      </c>
      <c r="R295" s="67">
        <f t="shared" si="276"/>
        <v>1.5457752651789156</v>
      </c>
      <c r="S295" s="67" t="str">
        <f t="shared" si="265"/>
        <v>1+1,10994414106685i</v>
      </c>
      <c r="T295" s="67">
        <f t="shared" si="277"/>
        <v>1.4939799183016576</v>
      </c>
      <c r="U295" s="67">
        <f t="shared" si="278"/>
        <v>0.83745868663392231</v>
      </c>
      <c r="V295" t="str">
        <f t="shared" si="266"/>
        <v>1-0,23123836272226i</v>
      </c>
      <c r="W295" s="67">
        <f t="shared" si="279"/>
        <v>1.026387441658593</v>
      </c>
      <c r="X295" s="67">
        <f t="shared" si="280"/>
        <v>-0.22724421404455278</v>
      </c>
      <c r="Y295" t="str">
        <f t="shared" si="267"/>
        <v>0,997780884157104+0,401236804853851i</v>
      </c>
      <c r="Z295" s="67">
        <f t="shared" si="281"/>
        <v>1.0754337108156222</v>
      </c>
      <c r="AA295" s="67">
        <f t="shared" si="282"/>
        <v>0.38234052504532251</v>
      </c>
      <c r="AB295" s="92" t="str">
        <f t="shared" si="283"/>
        <v>0,12264084587811-0,474564902018519i</v>
      </c>
      <c r="AC295" s="37">
        <f t="shared" si="284"/>
        <v>-6.1933186159530651</v>
      </c>
      <c r="AD295" s="60">
        <f t="shared" si="285"/>
        <v>-75.510183315208153</v>
      </c>
      <c r="AE295" t="str">
        <f t="shared" si="286"/>
        <v>21,0353732052265</v>
      </c>
      <c r="AF295" t="str">
        <f t="shared" si="268"/>
        <v>1+19,9789945392033i</v>
      </c>
      <c r="AG295">
        <f t="shared" si="287"/>
        <v>20.004005168903433</v>
      </c>
      <c r="AH295">
        <f t="shared" si="288"/>
        <v>1.5207854934412586</v>
      </c>
      <c r="AI295" t="str">
        <f t="shared" si="269"/>
        <v>1+1,10994414106685i</v>
      </c>
      <c r="AJ295">
        <f t="shared" si="289"/>
        <v>1.4939799183016576</v>
      </c>
      <c r="AK295">
        <f t="shared" si="290"/>
        <v>0.83745868663392231</v>
      </c>
      <c r="AL295" t="str">
        <f t="shared" si="270"/>
        <v>1-0,0755221330168202i</v>
      </c>
      <c r="AM295">
        <f t="shared" si="291"/>
        <v>1.0028477414719597</v>
      </c>
      <c r="AN295">
        <f t="shared" si="292"/>
        <v>-7.537903989309247E-2</v>
      </c>
      <c r="AO295" s="58" t="str">
        <f t="shared" si="293"/>
        <v>1,14336867365805-1,08390349627816i</v>
      </c>
      <c r="AP295">
        <f t="shared" si="294"/>
        <v>3.9482604818236906</v>
      </c>
      <c r="AQ295" s="60">
        <f t="shared" si="295"/>
        <v>-43.47064290783424</v>
      </c>
      <c r="AR295" t="str">
        <f t="shared" si="271"/>
        <v>-1,05811623246493</v>
      </c>
      <c r="AS295" t="str">
        <f t="shared" si="272"/>
        <v>1+1,09396094543549i</v>
      </c>
      <c r="AT295">
        <f t="shared" si="296"/>
        <v>1.4821439033164463</v>
      </c>
      <c r="AU295">
        <f t="shared" si="297"/>
        <v>0.83024043106187695</v>
      </c>
      <c r="AV295" t="str">
        <f t="shared" si="273"/>
        <v>1+1,09396094543549i</v>
      </c>
      <c r="AW295">
        <f t="shared" si="298"/>
        <v>1.4821439033164463</v>
      </c>
      <c r="AX295">
        <f t="shared" si="299"/>
        <v>0.83024043106187695</v>
      </c>
      <c r="AY295" t="str">
        <f t="shared" si="274"/>
        <v>1-0,0232682396576895i</v>
      </c>
      <c r="AZ295">
        <f t="shared" si="300"/>
        <v>1.0002706688575687</v>
      </c>
      <c r="BA295">
        <f t="shared" si="301"/>
        <v>-2.3264041794479766E-2</v>
      </c>
      <c r="BB295" s="58" t="str">
        <f t="shared" si="302"/>
        <v>-0,469412589729238+0,538139542542204i</v>
      </c>
      <c r="BC295">
        <f t="shared" si="303"/>
        <v>-2.9247892184284714</v>
      </c>
      <c r="BD295" s="60">
        <f t="shared" si="304"/>
        <v>131.09779590979264</v>
      </c>
      <c r="BE295" s="58" t="str">
        <f t="shared" si="305"/>
        <v>0,197812982208604+0,28876462834895i</v>
      </c>
      <c r="BF295" s="37">
        <f t="shared" si="306"/>
        <v>-9.1181078343815365</v>
      </c>
      <c r="BG295" s="60">
        <f t="shared" si="307"/>
        <v>55.587612594584449</v>
      </c>
      <c r="BH295" s="58" t="str">
        <f t="shared" si="308"/>
        <v>0,0465796815299153+1,12408984220394i</v>
      </c>
      <c r="BI295" s="37">
        <f t="shared" si="309"/>
        <v>1.0234712633952503</v>
      </c>
      <c r="BJ295" s="60">
        <f t="shared" si="310"/>
        <v>87.627153001958433</v>
      </c>
      <c r="BK295">
        <f t="shared" si="311"/>
        <v>-9.1181078343815365</v>
      </c>
      <c r="BL295" s="60">
        <f t="shared" si="312"/>
        <v>55.587612594584449</v>
      </c>
      <c r="BN295">
        <f t="shared" si="313"/>
        <v>0</v>
      </c>
      <c r="BO295">
        <f t="shared" si="314"/>
        <v>0</v>
      </c>
    </row>
    <row r="296" spans="13:67" x14ac:dyDescent="0.25">
      <c r="M296" s="66">
        <v>78</v>
      </c>
      <c r="N296" s="36">
        <f t="shared" si="315"/>
        <v>6025.595860743585</v>
      </c>
      <c r="O296" s="91" t="str">
        <f t="shared" si="263"/>
        <v>13,7404580152672</v>
      </c>
      <c r="P296" s="67" t="str">
        <f t="shared" si="264"/>
        <v>1+40,8887302095643i</v>
      </c>
      <c r="Q296" s="67">
        <f t="shared" si="275"/>
        <v>40.900956689917855</v>
      </c>
      <c r="R296" s="67">
        <f t="shared" si="276"/>
        <v>1.5463445844436368</v>
      </c>
      <c r="S296" s="67" t="str">
        <f t="shared" si="265"/>
        <v>1+1,13579806137679i</v>
      </c>
      <c r="T296" s="67">
        <f t="shared" si="277"/>
        <v>1.5132868981879393</v>
      </c>
      <c r="U296" s="67">
        <f t="shared" si="278"/>
        <v>0.8488945732329618</v>
      </c>
      <c r="V296" t="str">
        <f t="shared" si="266"/>
        <v>1-0,236624596120164i</v>
      </c>
      <c r="W296" s="67">
        <f t="shared" si="279"/>
        <v>1.0276143242914779</v>
      </c>
      <c r="X296" s="67">
        <f t="shared" si="280"/>
        <v>-0.23235097556262393</v>
      </c>
      <c r="Y296" t="str">
        <f t="shared" si="267"/>
        <v>0,997676300449471+0,410582810652066i</v>
      </c>
      <c r="Z296" s="67">
        <f t="shared" si="281"/>
        <v>1.0788587696642657</v>
      </c>
      <c r="AA296" s="67">
        <f t="shared" si="282"/>
        <v>0.39041413199325647</v>
      </c>
      <c r="AB296" s="92" t="str">
        <f t="shared" si="283"/>
        <v>0,120073883242694-0,469109860388108i</v>
      </c>
      <c r="AC296" s="37">
        <f t="shared" si="284"/>
        <v>-6.2989086337937774</v>
      </c>
      <c r="AD296" s="60">
        <f t="shared" si="285"/>
        <v>-75.642754354686403</v>
      </c>
      <c r="AE296" t="str">
        <f t="shared" si="286"/>
        <v>21,0353732052265</v>
      </c>
      <c r="AF296" t="str">
        <f t="shared" si="268"/>
        <v>1+20,4443651047822i</v>
      </c>
      <c r="AG296">
        <f t="shared" si="287"/>
        <v>20.468807110763347</v>
      </c>
      <c r="AH296">
        <f t="shared" si="288"/>
        <v>1.5219220459709322</v>
      </c>
      <c r="AI296" t="str">
        <f t="shared" si="269"/>
        <v>1+1,13579806137679i</v>
      </c>
      <c r="AJ296">
        <f t="shared" si="289"/>
        <v>1.5132868981879393</v>
      </c>
      <c r="AK296">
        <f t="shared" si="290"/>
        <v>0.8488945732329618</v>
      </c>
      <c r="AL296" t="str">
        <f t="shared" si="270"/>
        <v>1-0,077281269478207i</v>
      </c>
      <c r="AM296">
        <f t="shared" si="291"/>
        <v>1.002981751883933</v>
      </c>
      <c r="AN296">
        <f t="shared" si="292"/>
        <v>-7.7127967041487541E-2</v>
      </c>
      <c r="AO296" s="58" t="str">
        <f t="shared" si="293"/>
        <v>1,14113109895858-1,06340505794483i</v>
      </c>
      <c r="AP296">
        <f t="shared" si="294"/>
        <v>3.8614398359970252</v>
      </c>
      <c r="AQ296" s="60">
        <f t="shared" si="295"/>
        <v>-42.980740678143114</v>
      </c>
      <c r="AR296" t="str">
        <f t="shared" si="271"/>
        <v>-1,05811623246493</v>
      </c>
      <c r="AS296" t="str">
        <f t="shared" si="272"/>
        <v>1+1,11944256929296i</v>
      </c>
      <c r="AT296">
        <f t="shared" si="296"/>
        <v>1.5010501876836841</v>
      </c>
      <c r="AU296">
        <f t="shared" si="297"/>
        <v>0.84169426840891859</v>
      </c>
      <c r="AV296" t="str">
        <f t="shared" si="273"/>
        <v>1+1,11944256929296i</v>
      </c>
      <c r="AW296">
        <f t="shared" si="298"/>
        <v>1.5010501876836841</v>
      </c>
      <c r="AX296">
        <f t="shared" si="299"/>
        <v>0.84169426840891859</v>
      </c>
      <c r="AY296" t="str">
        <f t="shared" si="274"/>
        <v>1-0,0227385898596143i</v>
      </c>
      <c r="AZ296">
        <f t="shared" si="300"/>
        <v>1.0002584883262944</v>
      </c>
      <c r="BA296">
        <f t="shared" si="301"/>
        <v>-2.2734672128465975E-2</v>
      </c>
      <c r="BB296" s="58" t="str">
        <f t="shared" si="302"/>
        <v>-0,457662207260631+0,536386628197948i</v>
      </c>
      <c r="BC296">
        <f t="shared" si="303"/>
        <v>-3.0349918136951959</v>
      </c>
      <c r="BD296" s="60">
        <f t="shared" si="304"/>
        <v>130.4718700182427</v>
      </c>
      <c r="BE296" s="58" t="str">
        <f t="shared" si="305"/>
        <v>0,196670977828781+0,279099879520131i</v>
      </c>
      <c r="BF296" s="37">
        <f t="shared" si="306"/>
        <v>-9.3339004474889631</v>
      </c>
      <c r="BG296" s="60">
        <f t="shared" si="307"/>
        <v>54.82911566355628</v>
      </c>
      <c r="BH296" s="58" t="str">
        <f t="shared" si="308"/>
        <v>0,0481436759165377+1,09876776853336i</v>
      </c>
      <c r="BI296" s="37">
        <f t="shared" si="309"/>
        <v>0.82644802230181424</v>
      </c>
      <c r="BJ296" s="60">
        <f t="shared" si="310"/>
        <v>87.491129340099562</v>
      </c>
      <c r="BK296">
        <f t="shared" si="311"/>
        <v>-9.3339004474889631</v>
      </c>
      <c r="BL296" s="60">
        <f t="shared" si="312"/>
        <v>54.82911566355628</v>
      </c>
      <c r="BN296">
        <f t="shared" si="313"/>
        <v>0</v>
      </c>
      <c r="BO296">
        <f t="shared" si="314"/>
        <v>0</v>
      </c>
    </row>
    <row r="297" spans="13:67" x14ac:dyDescent="0.25">
      <c r="M297" s="66">
        <v>79</v>
      </c>
      <c r="N297" s="36">
        <f t="shared" si="315"/>
        <v>6165.9500186148289</v>
      </c>
      <c r="O297" s="91" t="str">
        <f t="shared" si="263"/>
        <v>13,7404580152672</v>
      </c>
      <c r="P297" s="67" t="str">
        <f t="shared" si="264"/>
        <v>1+41,8411510867056i</v>
      </c>
      <c r="Q297" s="67">
        <f t="shared" si="275"/>
        <v>41.853099338764927</v>
      </c>
      <c r="R297" s="67">
        <f t="shared" si="276"/>
        <v>1.5469009597396155</v>
      </c>
      <c r="S297" s="67" t="str">
        <f t="shared" si="265"/>
        <v>1+1,16225419685293i</v>
      </c>
      <c r="T297" s="67">
        <f t="shared" si="277"/>
        <v>1.5332432351398944</v>
      </c>
      <c r="U297" s="67">
        <f t="shared" si="278"/>
        <v>0.86029716268022949</v>
      </c>
      <c r="V297" t="str">
        <f t="shared" si="266"/>
        <v>1-0,242136291011028i</v>
      </c>
      <c r="W297" s="67">
        <f t="shared" si="279"/>
        <v>1.028897460111831</v>
      </c>
      <c r="X297" s="67">
        <f t="shared" si="280"/>
        <v>-0.23756394154469948</v>
      </c>
      <c r="Y297" t="str">
        <f t="shared" si="267"/>
        <v>0,997566787863548+0,420146512891195i</v>
      </c>
      <c r="Z297" s="67">
        <f t="shared" si="281"/>
        <v>1.082433641634917</v>
      </c>
      <c r="AA297" s="67">
        <f t="shared" si="282"/>
        <v>0.39862324996652521</v>
      </c>
      <c r="AB297" s="92" t="str">
        <f t="shared" si="283"/>
        <v>0,117450622246096-0,463831516674288i</v>
      </c>
      <c r="AC297" s="37">
        <f t="shared" si="284"/>
        <v>-6.4028908790725776</v>
      </c>
      <c r="AD297" s="60">
        <f t="shared" si="285"/>
        <v>-75.790340823033887</v>
      </c>
      <c r="AE297" t="str">
        <f t="shared" si="286"/>
        <v>21,0353732052265</v>
      </c>
      <c r="AF297" t="str">
        <f t="shared" si="268"/>
        <v>1+20,9205755433528i</v>
      </c>
      <c r="AG297">
        <f t="shared" si="287"/>
        <v>20.944461823239365</v>
      </c>
      <c r="AH297">
        <f t="shared" si="288"/>
        <v>1.5230328495269254</v>
      </c>
      <c r="AI297" t="str">
        <f t="shared" si="269"/>
        <v>1+1,16225419685293i</v>
      </c>
      <c r="AJ297">
        <f t="shared" si="289"/>
        <v>1.5332432351398944</v>
      </c>
      <c r="AK297">
        <f t="shared" si="290"/>
        <v>0.86029716268022949</v>
      </c>
      <c r="AL297" t="str">
        <f t="shared" si="270"/>
        <v>1-0,0790813814916099i</v>
      </c>
      <c r="AM297">
        <f t="shared" si="291"/>
        <v>1.0031220588236616</v>
      </c>
      <c r="AN297">
        <f t="shared" si="292"/>
        <v>-7.8917142570740673E-2</v>
      </c>
      <c r="AO297" s="58" t="str">
        <f t="shared" si="293"/>
        <v>1,13899376174189-1,04346061904759i</v>
      </c>
      <c r="AP297">
        <f t="shared" si="294"/>
        <v>3.7769170810184072</v>
      </c>
      <c r="AQ297" s="60">
        <f t="shared" si="295"/>
        <v>-42.493576989555294</v>
      </c>
      <c r="AR297" t="str">
        <f t="shared" si="271"/>
        <v>-1,05811623246493</v>
      </c>
      <c r="AS297" t="str">
        <f t="shared" si="272"/>
        <v>1+1,14551773641825i</v>
      </c>
      <c r="AT297">
        <f t="shared" si="296"/>
        <v>1.5205955689955142</v>
      </c>
      <c r="AU297">
        <f t="shared" si="297"/>
        <v>0.85311851618593393</v>
      </c>
      <c r="AV297" t="str">
        <f t="shared" si="273"/>
        <v>1+1,14551773641825i</v>
      </c>
      <c r="AW297">
        <f t="shared" si="298"/>
        <v>1.5205955689955142</v>
      </c>
      <c r="AX297">
        <f t="shared" si="299"/>
        <v>0.85311851618593393</v>
      </c>
      <c r="AY297" t="str">
        <f t="shared" si="274"/>
        <v>1-0,0222209963628634i</v>
      </c>
      <c r="AZ297">
        <f t="shared" si="300"/>
        <v>1.0002468558707687</v>
      </c>
      <c r="BA297">
        <f t="shared" si="301"/>
        <v>-2.2217340072390724E-2</v>
      </c>
      <c r="BB297" s="58" t="str">
        <f t="shared" si="302"/>
        <v>-0,445972455049351+0,534381754166112i</v>
      </c>
      <c r="BC297">
        <f t="shared" si="303"/>
        <v>-3.1474629759796109</v>
      </c>
      <c r="BD297" s="60">
        <f t="shared" si="304"/>
        <v>129.84694977992791</v>
      </c>
      <c r="BE297" s="58" t="str">
        <f t="shared" si="305"/>
        <v>0,195483357167769+0,269619549764266i</v>
      </c>
      <c r="BF297" s="37">
        <f t="shared" si="306"/>
        <v>-9.5503538550521956</v>
      </c>
      <c r="BG297" s="60">
        <f t="shared" si="307"/>
        <v>54.056608956893982</v>
      </c>
      <c r="BH297" s="58" t="str">
        <f t="shared" si="308"/>
        <v>0,0496464717999821+1,07401217840786i</v>
      </c>
      <c r="BI297" s="37">
        <f t="shared" si="309"/>
        <v>0.62945410503880539</v>
      </c>
      <c r="BJ297" s="60">
        <f t="shared" si="310"/>
        <v>87.353372790372632</v>
      </c>
      <c r="BK297">
        <f t="shared" si="311"/>
        <v>-9.5503538550521956</v>
      </c>
      <c r="BL297" s="60">
        <f t="shared" si="312"/>
        <v>54.056608956893982</v>
      </c>
      <c r="BN297">
        <f t="shared" si="313"/>
        <v>0</v>
      </c>
      <c r="BO297">
        <f t="shared" si="314"/>
        <v>0</v>
      </c>
    </row>
    <row r="298" spans="13:67" x14ac:dyDescent="0.25">
      <c r="M298" s="66">
        <v>80</v>
      </c>
      <c r="N298" s="36">
        <f t="shared" si="315"/>
        <v>6309.5734448019384</v>
      </c>
      <c r="O298" s="91" t="str">
        <f t="shared" si="263"/>
        <v>13,7404580152672</v>
      </c>
      <c r="P298" s="67" t="str">
        <f t="shared" si="264"/>
        <v>1+42,815756695986i</v>
      </c>
      <c r="Q298" s="67">
        <f t="shared" si="275"/>
        <v>42.82743304763747</v>
      </c>
      <c r="R298" s="67">
        <f t="shared" si="276"/>
        <v>1.5474446846857852</v>
      </c>
      <c r="S298" s="67" t="str">
        <f t="shared" si="265"/>
        <v>1+1,1893265748885i</v>
      </c>
      <c r="T298" s="67">
        <f t="shared" si="277"/>
        <v>1.553865406570341</v>
      </c>
      <c r="U298" s="67">
        <f t="shared" si="278"/>
        <v>0.87166064124712828</v>
      </c>
      <c r="V298" t="str">
        <f t="shared" si="266"/>
        <v>1-0,247776369768438i</v>
      </c>
      <c r="W298" s="67">
        <f t="shared" si="279"/>
        <v>1.0302393554003</v>
      </c>
      <c r="X298" s="67">
        <f t="shared" si="280"/>
        <v>-0.24288474217796729</v>
      </c>
      <c r="Y298" t="str">
        <f t="shared" si="267"/>
        <v>0,997452114108458+0,429932982372755i</v>
      </c>
      <c r="Z298" s="67">
        <f t="shared" si="281"/>
        <v>1.0861643932993588</v>
      </c>
      <c r="AA298" s="67">
        <f t="shared" si="282"/>
        <v>0.4069680175323695</v>
      </c>
      <c r="AB298" s="92" t="str">
        <f t="shared" si="283"/>
        <v>0,114769038353109-0,458723536313258i</v>
      </c>
      <c r="AC298" s="37">
        <f t="shared" si="284"/>
        <v>-6.5052972561206932</v>
      </c>
      <c r="AD298" s="60">
        <f t="shared" si="285"/>
        <v>-75.953393987652191</v>
      </c>
      <c r="AE298" t="str">
        <f t="shared" si="286"/>
        <v>21,0353732052265</v>
      </c>
      <c r="AF298" t="str">
        <f t="shared" si="268"/>
        <v>1+21,407878347993i</v>
      </c>
      <c r="AG298">
        <f t="shared" si="287"/>
        <v>21.43122150887503</v>
      </c>
      <c r="AH298">
        <f t="shared" si="288"/>
        <v>1.5241184821009288</v>
      </c>
      <c r="AI298" t="str">
        <f t="shared" si="269"/>
        <v>1+1,1893265748885i</v>
      </c>
      <c r="AJ298">
        <f t="shared" si="289"/>
        <v>1.553865406570341</v>
      </c>
      <c r="AK298">
        <f t="shared" si="290"/>
        <v>0.87166064124712828</v>
      </c>
      <c r="AL298" t="str">
        <f t="shared" si="270"/>
        <v>1-0,0809234235002452i</v>
      </c>
      <c r="AM298">
        <f t="shared" si="291"/>
        <v>1.0032689571949289</v>
      </c>
      <c r="AN298">
        <f t="shared" si="292"/>
        <v>-8.0747469280469497E-2</v>
      </c>
      <c r="AO298" s="58" t="str">
        <f t="shared" si="293"/>
        <v>1,13695219179195-1,02406025806495i</v>
      </c>
      <c r="AP298">
        <f t="shared" si="294"/>
        <v>3.6946813864466019</v>
      </c>
      <c r="AQ298" s="60">
        <f t="shared" si="295"/>
        <v>-42.009569787274309</v>
      </c>
      <c r="AR298" t="str">
        <f t="shared" si="271"/>
        <v>-1,05811623246493</v>
      </c>
      <c r="AS298" t="str">
        <f t="shared" si="272"/>
        <v>1+1,17220027221011i</v>
      </c>
      <c r="AT298">
        <f t="shared" si="296"/>
        <v>1.5407963779063916</v>
      </c>
      <c r="AU298">
        <f t="shared" si="297"/>
        <v>0.86450730447010526</v>
      </c>
      <c r="AV298" t="str">
        <f t="shared" si="273"/>
        <v>1+1,17220027221011i</v>
      </c>
      <c r="AW298">
        <f t="shared" si="298"/>
        <v>1.5407963779063916</v>
      </c>
      <c r="AX298">
        <f t="shared" si="299"/>
        <v>0.86450730447010526</v>
      </c>
      <c r="AY298" t="str">
        <f t="shared" si="274"/>
        <v>1-0,0217151847325138i</v>
      </c>
      <c r="AZ298">
        <f t="shared" si="300"/>
        <v>1.0002357468356984</v>
      </c>
      <c r="BA298">
        <f t="shared" si="301"/>
        <v>-2.1711772438223975E-2</v>
      </c>
      <c r="BB298" s="58" t="str">
        <f t="shared" si="302"/>
        <v>-0,434355154259021+0,532128419514736i</v>
      </c>
      <c r="BC298">
        <f t="shared" si="303"/>
        <v>-3.2621900090253151</v>
      </c>
      <c r="BD298" s="60">
        <f t="shared" si="304"/>
        <v>129.22338716917304</v>
      </c>
      <c r="BE298" s="58" t="str">
        <f t="shared" si="305"/>
        <v>0,19424930701456+0,260320799365655i</v>
      </c>
      <c r="BF298" s="37">
        <f t="shared" si="306"/>
        <v>-9.767487265146011</v>
      </c>
      <c r="BG298" s="60">
        <f t="shared" si="307"/>
        <v>53.269993181520924</v>
      </c>
      <c r="BH298" s="58" t="str">
        <f t="shared" si="308"/>
        <v>0,05109052196103+1,0498104242444i</v>
      </c>
      <c r="BI298" s="37">
        <f t="shared" si="309"/>
        <v>0.43249137742129068</v>
      </c>
      <c r="BJ298" s="60">
        <f t="shared" si="310"/>
        <v>87.213817381898735</v>
      </c>
      <c r="BK298">
        <f t="shared" si="311"/>
        <v>-9.767487265146011</v>
      </c>
      <c r="BL298" s="60">
        <f t="shared" si="312"/>
        <v>53.269993181520924</v>
      </c>
      <c r="BN298">
        <f t="shared" si="313"/>
        <v>0</v>
      </c>
      <c r="BO298">
        <f t="shared" si="314"/>
        <v>0</v>
      </c>
    </row>
    <row r="299" spans="13:67" x14ac:dyDescent="0.25">
      <c r="M299" s="66">
        <v>81</v>
      </c>
      <c r="N299" s="36">
        <f t="shared" si="315"/>
        <v>6456.5422903465615</v>
      </c>
      <c r="O299" s="91" t="str">
        <f t="shared" si="263"/>
        <v>13,7404580152672</v>
      </c>
      <c r="P299" s="67" t="str">
        <f t="shared" si="264"/>
        <v>1+43,8130637862003i</v>
      </c>
      <c r="Q299" s="67">
        <f t="shared" si="275"/>
        <v>43.824474421647736</v>
      </c>
      <c r="R299" s="67">
        <f t="shared" si="276"/>
        <v>1.547976046285612</v>
      </c>
      <c r="S299" s="67" t="str">
        <f t="shared" si="265"/>
        <v>1+1,21702954961668i</v>
      </c>
      <c r="T299" s="67">
        <f t="shared" si="277"/>
        <v>1.5751701256182391</v>
      </c>
      <c r="U299" s="67">
        <f t="shared" si="278"/>
        <v>0.88297929603220282</v>
      </c>
      <c r="V299" t="str">
        <f t="shared" si="266"/>
        <v>1-0,253547822836807i</v>
      </c>
      <c r="W299" s="67">
        <f t="shared" si="279"/>
        <v>1.031642621485408</v>
      </c>
      <c r="X299" s="67">
        <f t="shared" si="280"/>
        <v>-0.24831499300568138</v>
      </c>
      <c r="Y299" t="str">
        <f t="shared" si="267"/>
        <v>0,99733203594579+0,439947408012406i</v>
      </c>
      <c r="Z299" s="67">
        <f t="shared" si="281"/>
        <v>1.0900572974576195</v>
      </c>
      <c r="AA299" s="67">
        <f t="shared" si="282"/>
        <v>0.41544843432051531</v>
      </c>
      <c r="AB299" s="92" t="str">
        <f t="shared" si="283"/>
        <v>0,11202722099067-0,45377955257011i</v>
      </c>
      <c r="AC299" s="37">
        <f t="shared" si="284"/>
        <v>-6.6061618157424267</v>
      </c>
      <c r="AD299" s="60">
        <f t="shared" si="285"/>
        <v>-76.132350160365121</v>
      </c>
      <c r="AE299" t="str">
        <f t="shared" si="286"/>
        <v>21,0353732052265</v>
      </c>
      <c r="AF299" t="str">
        <f t="shared" si="268"/>
        <v>1+21,9065318931002i</v>
      </c>
      <c r="AG299">
        <f t="shared" si="287"/>
        <v>21.929344257943882</v>
      </c>
      <c r="AH299">
        <f t="shared" si="288"/>
        <v>1.5251795090676874</v>
      </c>
      <c r="AI299" t="str">
        <f t="shared" si="269"/>
        <v>1+1,21702954961668i</v>
      </c>
      <c r="AJ299">
        <f t="shared" si="289"/>
        <v>1.5751701256182391</v>
      </c>
      <c r="AK299">
        <f t="shared" si="290"/>
        <v>0.88297929603220282</v>
      </c>
      <c r="AL299" t="str">
        <f t="shared" si="270"/>
        <v>1-0,0828083721791688i</v>
      </c>
      <c r="AM299">
        <f t="shared" si="291"/>
        <v>1.003422755623453</v>
      </c>
      <c r="AN299">
        <f t="shared" si="292"/>
        <v>-8.2619868552604503E-2</v>
      </c>
      <c r="AO299" s="58" t="str">
        <f t="shared" si="293"/>
        <v>1,13500211647698-1,00519429866962i</v>
      </c>
      <c r="AP299">
        <f t="shared" si="294"/>
        <v>3.614719767895461</v>
      </c>
      <c r="AQ299" s="60">
        <f t="shared" si="295"/>
        <v>-41.529131581325409</v>
      </c>
      <c r="AR299" t="str">
        <f t="shared" si="271"/>
        <v>-1,05811623246493</v>
      </c>
      <c r="AS299" t="str">
        <f t="shared" si="272"/>
        <v>1+1,1995043241022i</v>
      </c>
      <c r="AT299">
        <f t="shared" si="296"/>
        <v>1.5616691786482422</v>
      </c>
      <c r="AU299">
        <f t="shared" si="297"/>
        <v>0.87585485520727235</v>
      </c>
      <c r="AV299" t="str">
        <f t="shared" si="273"/>
        <v>1+1,1995043241022i</v>
      </c>
      <c r="AW299">
        <f t="shared" si="298"/>
        <v>1.5616691786482422</v>
      </c>
      <c r="AX299">
        <f t="shared" si="299"/>
        <v>0.87585485520727235</v>
      </c>
      <c r="AY299" t="str">
        <f t="shared" si="274"/>
        <v>1-0,0212208867805438i</v>
      </c>
      <c r="AZ299">
        <f t="shared" si="300"/>
        <v>1.00022513767439</v>
      </c>
      <c r="BA299">
        <f t="shared" si="301"/>
        <v>-2.1217702201685777E-2</v>
      </c>
      <c r="BB299" s="58" t="str">
        <f t="shared" si="302"/>
        <v>-0,422821827482743+0,529630775160139i</v>
      </c>
      <c r="BC299">
        <f t="shared" si="303"/>
        <v>-3.3791579424476654</v>
      </c>
      <c r="BD299" s="60">
        <f t="shared" si="304"/>
        <v>128.60152854345941</v>
      </c>
      <c r="BE299" s="58" t="str">
        <f t="shared" si="305"/>
        <v>0,19296806187244+0,25120096358432i</v>
      </c>
      <c r="BF299" s="37">
        <f t="shared" si="306"/>
        <v>-9.9853197581900979</v>
      </c>
      <c r="BG299" s="60">
        <f t="shared" si="307"/>
        <v>52.469178383094331</v>
      </c>
      <c r="BH299" s="58" t="str">
        <f t="shared" si="308"/>
        <v>0,0524781665053655+1,02615014109682i</v>
      </c>
      <c r="BI299" s="37">
        <f t="shared" si="309"/>
        <v>0.2355618254477595</v>
      </c>
      <c r="BJ299" s="60">
        <f t="shared" si="310"/>
        <v>87.072396962134007</v>
      </c>
      <c r="BK299">
        <f t="shared" si="311"/>
        <v>-9.9853197581900979</v>
      </c>
      <c r="BL299" s="60">
        <f t="shared" si="312"/>
        <v>52.469178383094331</v>
      </c>
      <c r="BN299">
        <f t="shared" si="313"/>
        <v>0</v>
      </c>
      <c r="BO299">
        <f t="shared" si="314"/>
        <v>0</v>
      </c>
    </row>
    <row r="300" spans="13:67" x14ac:dyDescent="0.25">
      <c r="M300" s="66">
        <v>82</v>
      </c>
      <c r="N300" s="36">
        <f t="shared" si="315"/>
        <v>6606.9344800759654</v>
      </c>
      <c r="O300" s="91" t="str">
        <f t="shared" si="263"/>
        <v>13,7404580152672</v>
      </c>
      <c r="P300" s="67" t="str">
        <f t="shared" si="264"/>
        <v>1+44,8336011427684i</v>
      </c>
      <c r="Q300" s="67">
        <f t="shared" si="275"/>
        <v>44.844752105779826</v>
      </c>
      <c r="R300" s="67">
        <f t="shared" si="276"/>
        <v>1.5484953250731424</v>
      </c>
      <c r="S300" s="67" t="str">
        <f t="shared" si="265"/>
        <v>1+1,24537780952135i</v>
      </c>
      <c r="T300" s="67">
        <f t="shared" si="277"/>
        <v>1.5971743450381977</v>
      </c>
      <c r="U300" s="67">
        <f t="shared" si="278"/>
        <v>0.89424752866462676</v>
      </c>
      <c r="V300" t="str">
        <f t="shared" si="266"/>
        <v>1-0,259453710316947i</v>
      </c>
      <c r="W300" s="67">
        <f t="shared" si="279"/>
        <v>1.0331099785585416</v>
      </c>
      <c r="X300" s="67">
        <f t="shared" si="280"/>
        <v>-0.25385629167022666</v>
      </c>
      <c r="Y300" t="str">
        <f t="shared" si="267"/>
        <v>0,997206298673663+0,450195099591176i</v>
      </c>
      <c r="Z300" s="67">
        <f t="shared" si="281"/>
        <v>1.0941188371517674</v>
      </c>
      <c r="AA300" s="67">
        <f t="shared" si="282"/>
        <v>0.42406435422777172</v>
      </c>
      <c r="AB300" s="92" t="str">
        <f t="shared" si="283"/>
        <v>0,109223381176784-0,448993165715311i</v>
      </c>
      <c r="AC300" s="37">
        <f t="shared" si="284"/>
        <v>-6.7055206298943677</v>
      </c>
      <c r="AD300" s="60">
        <f t="shared" si="285"/>
        <v>-76.32762934468029</v>
      </c>
      <c r="AE300" t="str">
        <f t="shared" si="286"/>
        <v>21,0353732052265</v>
      </c>
      <c r="AF300" t="str">
        <f t="shared" si="268"/>
        <v>1+22,4168005713842i</v>
      </c>
      <c r="AG300">
        <f t="shared" si="287"/>
        <v>22.439094185309955</v>
      </c>
      <c r="AH300">
        <f t="shared" si="288"/>
        <v>1.526216483436458</v>
      </c>
      <c r="AI300" t="str">
        <f t="shared" si="269"/>
        <v>1+1,24537780952135i</v>
      </c>
      <c r="AJ300">
        <f t="shared" si="289"/>
        <v>1.5971743450381977</v>
      </c>
      <c r="AK300">
        <f t="shared" si="290"/>
        <v>0.89424752866462676</v>
      </c>
      <c r="AL300" t="str">
        <f t="shared" si="270"/>
        <v>1-0,0847372269531198i</v>
      </c>
      <c r="AM300">
        <f t="shared" si="291"/>
        <v>1.0035837770867486</v>
      </c>
      <c r="AN300">
        <f t="shared" si="292"/>
        <v>-8.453528061353166E-2</v>
      </c>
      <c r="AO300" s="58" t="str">
        <f t="shared" si="293"/>
        <v>1,13313945217196-0,986853307452217i</v>
      </c>
      <c r="AP300">
        <f t="shared" si="294"/>
        <v>3.537017161640267</v>
      </c>
      <c r="AQ300" s="60">
        <f t="shared" si="295"/>
        <v>-41.052668690829428</v>
      </c>
      <c r="AR300" t="str">
        <f t="shared" si="271"/>
        <v>-1,05811623246493</v>
      </c>
      <c r="AS300" t="str">
        <f t="shared" si="272"/>
        <v>1+1,22744436906424i</v>
      </c>
      <c r="AT300">
        <f t="shared" si="296"/>
        <v>1.5832307725494443</v>
      </c>
      <c r="AU300">
        <f t="shared" si="297"/>
        <v>0.88715549631876978</v>
      </c>
      <c r="AV300" t="str">
        <f t="shared" si="273"/>
        <v>1+1,22744436906424i</v>
      </c>
      <c r="AW300">
        <f t="shared" si="298"/>
        <v>1.5832307725494443</v>
      </c>
      <c r="AX300">
        <f t="shared" si="299"/>
        <v>0.88715549631876978</v>
      </c>
      <c r="AY300" t="str">
        <f t="shared" si="274"/>
        <v>1-0,0207378404236366i</v>
      </c>
      <c r="AZ300">
        <f t="shared" si="300"/>
        <v>1.0002150058989498</v>
      </c>
      <c r="BA300">
        <f t="shared" si="301"/>
        <v>-2.0734868365591897E-2</v>
      </c>
      <c r="BB300" s="58" t="str">
        <f t="shared" si="302"/>
        <v>-0,411383654771337+0,526893596152662i</v>
      </c>
      <c r="BC300">
        <f t="shared" si="303"/>
        <v>-3.4983495943818239</v>
      </c>
      <c r="BD300" s="60">
        <f t="shared" si="304"/>
        <v>127.98171384299292</v>
      </c>
      <c r="BE300" s="58" t="str">
        <f t="shared" si="305"/>
        <v>0,19163890999672+0,242257549571506i</v>
      </c>
      <c r="BF300" s="37">
        <f t="shared" si="306"/>
        <v>-10.203870224276191</v>
      </c>
      <c r="BG300" s="60">
        <f t="shared" si="307"/>
        <v>51.65408449831267</v>
      </c>
      <c r="BH300" s="58" t="str">
        <f t="shared" si="308"/>
        <v>0,0538116388385557+1,00301924124022i</v>
      </c>
      <c r="BI300" s="37">
        <f t="shared" si="309"/>
        <v>3.8667567258475435E-2</v>
      </c>
      <c r="BJ300" s="60">
        <f t="shared" si="310"/>
        <v>86.929045152163511</v>
      </c>
      <c r="BK300">
        <f t="shared" si="311"/>
        <v>-10.203870224276191</v>
      </c>
      <c r="BL300" s="60">
        <f t="shared" si="312"/>
        <v>51.65408449831267</v>
      </c>
      <c r="BN300">
        <f t="shared" si="313"/>
        <v>0</v>
      </c>
      <c r="BO300">
        <f t="shared" si="314"/>
        <v>0</v>
      </c>
    </row>
    <row r="301" spans="13:67" x14ac:dyDescent="0.25">
      <c r="M301" s="66">
        <v>83</v>
      </c>
      <c r="N301" s="36">
        <f t="shared" si="315"/>
        <v>6760.8297539198229</v>
      </c>
      <c r="O301" s="91" t="str">
        <f t="shared" si="263"/>
        <v>13,7404580152672</v>
      </c>
      <c r="P301" s="67" t="str">
        <f t="shared" si="264"/>
        <v>1+45,8779098681053i</v>
      </c>
      <c r="Q301" s="67">
        <f t="shared" si="275"/>
        <v>45.888807065187407</v>
      </c>
      <c r="R301" s="67">
        <f t="shared" si="276"/>
        <v>1.5490027952560308</v>
      </c>
      <c r="S301" s="67" t="str">
        <f t="shared" si="265"/>
        <v>1+1,27438638522515i</v>
      </c>
      <c r="T301" s="67">
        <f t="shared" si="277"/>
        <v>1.6198952616904663</v>
      </c>
      <c r="U301" s="67">
        <f t="shared" si="278"/>
        <v>0.9054598683064442</v>
      </c>
      <c r="V301" t="str">
        <f t="shared" si="266"/>
        <v>1-0,265497163588573i</v>
      </c>
      <c r="W301" s="67">
        <f t="shared" si="279"/>
        <v>1.0346442595760039</v>
      </c>
      <c r="X301" s="67">
        <f t="shared" si="280"/>
        <v>-0.25951021446010125</v>
      </c>
      <c r="Y301" t="str">
        <f t="shared" si="267"/>
        <v>0,997074635586465+0,460681490570787i</v>
      </c>
      <c r="Z301" s="67">
        <f t="shared" si="281"/>
        <v>1.0983557095424068</v>
      </c>
      <c r="AA301" s="67">
        <f t="shared" si="282"/>
        <v>0.43281547869960446</v>
      </c>
      <c r="AB301" s="92" t="str">
        <f t="shared" si="283"/>
        <v>0,106355859470534-0,444357942910097i</v>
      </c>
      <c r="AC301" s="37">
        <f t="shared" si="284"/>
        <v>-6.8034116544739875</v>
      </c>
      <c r="AD301" s="60">
        <f t="shared" si="285"/>
        <v>-76.539633916227473</v>
      </c>
      <c r="AE301" t="str">
        <f t="shared" si="286"/>
        <v>21,0353732052265</v>
      </c>
      <c r="AF301" t="str">
        <f t="shared" si="268"/>
        <v>1+22,9389549340527i</v>
      </c>
      <c r="AG301">
        <f t="shared" si="287"/>
        <v>22.960741570482881</v>
      </c>
      <c r="AH301">
        <f t="shared" si="288"/>
        <v>1.5272299460991012</v>
      </c>
      <c r="AI301" t="str">
        <f t="shared" si="269"/>
        <v>1+1,27438638522515i</v>
      </c>
      <c r="AJ301">
        <f t="shared" si="289"/>
        <v>1.6198952616904663</v>
      </c>
      <c r="AK301">
        <f t="shared" si="290"/>
        <v>0.9054598683064442</v>
      </c>
      <c r="AL301" t="str">
        <f t="shared" si="270"/>
        <v>1-0,0867110105264314i</v>
      </c>
      <c r="AM301">
        <f t="shared" si="291"/>
        <v>1.0037523595720783</v>
      </c>
      <c r="AN301">
        <f t="shared" si="292"/>
        <v>-8.6494664790652806E-2</v>
      </c>
      <c r="AO301" s="58" t="str">
        <f t="shared" si="293"/>
        <v>1,13136029603973-0,969028091587021i</v>
      </c>
      <c r="AP301">
        <f t="shared" si="294"/>
        <v>3.4615565072377441</v>
      </c>
      <c r="AQ301" s="60">
        <f t="shared" si="295"/>
        <v>-40.580580527943219</v>
      </c>
      <c r="AR301" t="str">
        <f t="shared" si="271"/>
        <v>-1,05811623246493</v>
      </c>
      <c r="AS301" t="str">
        <f t="shared" si="272"/>
        <v>1+1,25603522127791i</v>
      </c>
      <c r="AT301">
        <f t="shared" si="296"/>
        <v>1.6054982021449442</v>
      </c>
      <c r="AU301">
        <f t="shared" si="297"/>
        <v>0.89840367515382735</v>
      </c>
      <c r="AV301" t="str">
        <f t="shared" si="273"/>
        <v>1+1,25603522127791i</v>
      </c>
      <c r="AW301">
        <f t="shared" si="298"/>
        <v>1.6054982021449442</v>
      </c>
      <c r="AX301">
        <f t="shared" si="299"/>
        <v>0.89840367515382735</v>
      </c>
      <c r="AY301" t="str">
        <f t="shared" si="274"/>
        <v>1-0,0202657895442197i</v>
      </c>
      <c r="AZ301">
        <f t="shared" si="300"/>
        <v>1.0002053300327141</v>
      </c>
      <c r="BA301">
        <f t="shared" si="301"/>
        <v>-2.0263015826066145E-2</v>
      </c>
      <c r="BB301" s="58" t="str">
        <f t="shared" si="302"/>
        <v>-0,400051432586235+0,523922250531454i</v>
      </c>
      <c r="BC301">
        <f t="shared" si="303"/>
        <v>-3.6197456423616998</v>
      </c>
      <c r="BD301" s="60">
        <f t="shared" si="304"/>
        <v>127.36427582760305</v>
      </c>
      <c r="BE301" s="58" t="str">
        <f t="shared" si="305"/>
        <v>0,190261199545858+0,233488232893266i</v>
      </c>
      <c r="BF301" s="37">
        <f t="shared" si="306"/>
        <v>-10.423157296835686</v>
      </c>
      <c r="BG301" s="60">
        <f t="shared" si="307"/>
        <v>50.824641911375586</v>
      </c>
      <c r="BH301" s="58" t="str">
        <f t="shared" si="308"/>
        <v>0,0550930713705911+0,98040590871876i</v>
      </c>
      <c r="BI301" s="37">
        <f t="shared" si="309"/>
        <v>-0.15818913512395971</v>
      </c>
      <c r="BJ301" s="60">
        <f t="shared" si="310"/>
        <v>86.78369529965984</v>
      </c>
      <c r="BK301">
        <f t="shared" si="311"/>
        <v>-10.423157296835686</v>
      </c>
      <c r="BL301" s="60">
        <f t="shared" si="312"/>
        <v>50.824641911375586</v>
      </c>
      <c r="BN301">
        <f t="shared" si="313"/>
        <v>0</v>
      </c>
      <c r="BO301">
        <f t="shared" si="314"/>
        <v>0</v>
      </c>
    </row>
    <row r="302" spans="13:67" x14ac:dyDescent="0.25">
      <c r="M302" s="66">
        <v>84</v>
      </c>
      <c r="N302" s="36">
        <f t="shared" si="315"/>
        <v>6918.3097091893687</v>
      </c>
      <c r="O302" s="91" t="str">
        <f t="shared" si="263"/>
        <v>13,7404580152672</v>
      </c>
      <c r="P302" s="67" t="str">
        <f t="shared" si="264"/>
        <v>1+46,9465436685202i</v>
      </c>
      <c r="Q302" s="67">
        <f t="shared" si="275"/>
        <v>46.957192872022006</v>
      </c>
      <c r="R302" s="67">
        <f t="shared" si="276"/>
        <v>1.5494987248555925</v>
      </c>
      <c r="S302" s="67" t="str">
        <f t="shared" si="265"/>
        <v>1+1,3040706574589i</v>
      </c>
      <c r="T302" s="67">
        <f t="shared" si="277"/>
        <v>1.6433503216433456</v>
      </c>
      <c r="U302" s="67">
        <f t="shared" si="278"/>
        <v>0.91661098388568674</v>
      </c>
      <c r="V302" t="str">
        <f t="shared" si="266"/>
        <v>1-0,271681386970603i</v>
      </c>
      <c r="W302" s="67">
        <f t="shared" si="279"/>
        <v>1.0362484142454793</v>
      </c>
      <c r="X302" s="67">
        <f t="shared" si="280"/>
        <v>-0.26527831265611773</v>
      </c>
      <c r="Y302" t="str">
        <f t="shared" si="267"/>
        <v>0,996936767409135+0,471412140974538i</v>
      </c>
      <c r="Z302" s="67">
        <f t="shared" si="281"/>
        <v>1.1027748296322206</v>
      </c>
      <c r="AA302" s="67">
        <f t="shared" si="282"/>
        <v>0.44170135012937395</v>
      </c>
      <c r="AB302" s="92" t="str">
        <f t="shared" si="283"/>
        <v>0,103423134194016-0,439867418849445i</v>
      </c>
      <c r="AC302" s="37">
        <f t="shared" si="284"/>
        <v>-6.8998745808477864</v>
      </c>
      <c r="AD302" s="60">
        <f t="shared" si="285"/>
        <v>-76.768747342335303</v>
      </c>
      <c r="AE302" t="str">
        <f t="shared" si="286"/>
        <v>21,0353732052265</v>
      </c>
      <c r="AF302" t="str">
        <f t="shared" si="268"/>
        <v>1+23,4732718342601i</v>
      </c>
      <c r="AG302">
        <f t="shared" si="287"/>
        <v>23.494563000938502</v>
      </c>
      <c r="AH302">
        <f t="shared" si="288"/>
        <v>1.5282204260747201</v>
      </c>
      <c r="AI302" t="str">
        <f t="shared" si="269"/>
        <v>1+1,3040706574589i</v>
      </c>
      <c r="AJ302">
        <f t="shared" si="289"/>
        <v>1.6433503216433456</v>
      </c>
      <c r="AK302">
        <f t="shared" si="290"/>
        <v>0.91661098388568674</v>
      </c>
      <c r="AL302" t="str">
        <f t="shared" si="270"/>
        <v>1-0,0887307694252799i</v>
      </c>
      <c r="AM302">
        <f t="shared" si="291"/>
        <v>1.0039288567636664</v>
      </c>
      <c r="AN302">
        <f t="shared" si="292"/>
        <v>-8.8498999762448766E-2</v>
      </c>
      <c r="AO302" s="58" t="str">
        <f t="shared" si="293"/>
        <v>1,12966091815687-0,951709696450627i</v>
      </c>
      <c r="AP302">
        <f t="shared" si="294"/>
        <v>3.388318837539452</v>
      </c>
      <c r="AQ302" s="60">
        <f t="shared" si="295"/>
        <v>-40.113258925299661</v>
      </c>
      <c r="AR302" t="str">
        <f t="shared" si="271"/>
        <v>-1,05811623246493</v>
      </c>
      <c r="AS302" t="str">
        <f t="shared" si="272"/>
        <v>1+1,28529203999149i</v>
      </c>
      <c r="AT302">
        <f t="shared" si="296"/>
        <v>1.6284887558916352</v>
      </c>
      <c r="AU302">
        <f t="shared" si="297"/>
        <v>0.90959397121463348</v>
      </c>
      <c r="AV302" t="str">
        <f t="shared" si="273"/>
        <v>1+1,28529203999149i</v>
      </c>
      <c r="AW302">
        <f t="shared" si="298"/>
        <v>1.6284887558916352</v>
      </c>
      <c r="AX302">
        <f t="shared" si="299"/>
        <v>0.90959397121463348</v>
      </c>
      <c r="AY302" t="str">
        <f t="shared" si="274"/>
        <v>1-0,0198044838546686i</v>
      </c>
      <c r="AZ302">
        <f t="shared" si="300"/>
        <v>1.0001960895648161</v>
      </c>
      <c r="BA302">
        <f t="shared" si="301"/>
        <v>-1.9801895241572547E-2</v>
      </c>
      <c r="BB302" s="58" t="str">
        <f t="shared" si="302"/>
        <v>-0,388835535974238+0,520722665095727i</v>
      </c>
      <c r="BC302">
        <f t="shared" si="303"/>
        <v>-3.743324701833433</v>
      </c>
      <c r="BD302" s="60">
        <f t="shared" si="304"/>
        <v>126.74953935515512</v>
      </c>
      <c r="BE302" s="58" t="str">
        <f t="shared" si="305"/>
        <v>0,188834344815596+0,22489085363599i</v>
      </c>
      <c r="BF302" s="37">
        <f t="shared" si="306"/>
        <v>-10.643199282681206</v>
      </c>
      <c r="BG302" s="60">
        <f t="shared" si="307"/>
        <v>49.980792012819833</v>
      </c>
      <c r="BH302" s="58" t="str">
        <f t="shared" si="308"/>
        <v>0,0563245009525395+0,95829859386839i</v>
      </c>
      <c r="BI302" s="37">
        <f t="shared" si="309"/>
        <v>-0.35500586429398356</v>
      </c>
      <c r="BJ302" s="60">
        <f t="shared" si="310"/>
        <v>86.636280429855461</v>
      </c>
      <c r="BK302">
        <f t="shared" si="311"/>
        <v>-10.643199282681206</v>
      </c>
      <c r="BL302" s="60">
        <f t="shared" si="312"/>
        <v>49.980792012819833</v>
      </c>
      <c r="BN302">
        <f t="shared" si="313"/>
        <v>0</v>
      </c>
      <c r="BO302">
        <f t="shared" si="314"/>
        <v>0</v>
      </c>
    </row>
    <row r="303" spans="13:67" x14ac:dyDescent="0.25">
      <c r="M303" s="66">
        <v>85</v>
      </c>
      <c r="N303" s="36">
        <f t="shared" si="315"/>
        <v>7079.4578438413828</v>
      </c>
      <c r="O303" s="91" t="str">
        <f t="shared" si="263"/>
        <v>13,7404580152672</v>
      </c>
      <c r="P303" s="67" t="str">
        <f t="shared" si="264"/>
        <v>1+48,0400691477991i</v>
      </c>
      <c r="Q303" s="67">
        <f t="shared" si="275"/>
        <v>48.050475998946347</v>
      </c>
      <c r="R303" s="67">
        <f t="shared" si="276"/>
        <v>1.5499833758439296</v>
      </c>
      <c r="S303" s="67" t="str">
        <f t="shared" si="265"/>
        <v>1+1,33444636521664i</v>
      </c>
      <c r="T303" s="67">
        <f t="shared" si="277"/>
        <v>1.6675572258965814</v>
      </c>
      <c r="U303" s="67">
        <f t="shared" si="278"/>
        <v>0.92769569550095321</v>
      </c>
      <c r="V303" t="str">
        <f t="shared" si="266"/>
        <v>1-0,278009659420134i</v>
      </c>
      <c r="W303" s="67">
        <f t="shared" si="279"/>
        <v>1.0379255130937377</v>
      </c>
      <c r="X303" s="67">
        <f t="shared" si="280"/>
        <v>-0.27116210867269552</v>
      </c>
      <c r="Y303" t="str">
        <f t="shared" si="267"/>
        <v>0,996792401704785+0,482392740335312i</v>
      </c>
      <c r="Z303" s="67">
        <f t="shared" si="281"/>
        <v>1.1073833338210419</v>
      </c>
      <c r="AA303" s="67">
        <f t="shared" si="282"/>
        <v>0.45072134541873587</v>
      </c>
      <c r="AB303" s="92" t="str">
        <f t="shared" si="283"/>
        <v>0,100423829870531-0,43551509720907i</v>
      </c>
      <c r="AC303" s="37">
        <f t="shared" si="284"/>
        <v>-6.9949506768284211</v>
      </c>
      <c r="AD303" s="60">
        <f t="shared" si="285"/>
        <v>-77.015332946403461</v>
      </c>
      <c r="AE303" t="str">
        <f t="shared" si="286"/>
        <v>21,0353732052265</v>
      </c>
      <c r="AF303" t="str">
        <f t="shared" si="268"/>
        <v>1+24,0200345738996i</v>
      </c>
      <c r="AG303">
        <f t="shared" si="287"/>
        <v>24.040841518784909</v>
      </c>
      <c r="AH303">
        <f t="shared" si="288"/>
        <v>1.5291884407507934</v>
      </c>
      <c r="AI303" t="str">
        <f t="shared" si="269"/>
        <v>1+1,33444636521664i</v>
      </c>
      <c r="AJ303">
        <f t="shared" si="289"/>
        <v>1.6675572258965814</v>
      </c>
      <c r="AK303">
        <f t="shared" si="290"/>
        <v>0.92769569550095321</v>
      </c>
      <c r="AL303" t="str">
        <f t="shared" si="270"/>
        <v>1-0,0907975745525682i</v>
      </c>
      <c r="AM303">
        <f t="shared" si="291"/>
        <v>1.0041136387603891</v>
      </c>
      <c r="AN303">
        <f t="shared" si="292"/>
        <v>-9.0549283801079586E-2</v>
      </c>
      <c r="AO303" s="58" t="str">
        <f t="shared" si="293"/>
        <v>1,12803775397114-0,934889403203464i</v>
      </c>
      <c r="AP303">
        <f t="shared" si="294"/>
        <v>3.3172833754311033</v>
      </c>
      <c r="AQ303" s="60">
        <f t="shared" si="295"/>
        <v>-39.651087510287617</v>
      </c>
      <c r="AR303" t="str">
        <f t="shared" si="271"/>
        <v>-1,05811623246493</v>
      </c>
      <c r="AS303" t="str">
        <f t="shared" si="272"/>
        <v>1+1,31523033755752i</v>
      </c>
      <c r="AT303">
        <f t="shared" si="296"/>
        <v>1.6522199734997967</v>
      </c>
      <c r="AU303">
        <f t="shared" si="297"/>
        <v>0.92072110808931706</v>
      </c>
      <c r="AV303" t="str">
        <f t="shared" si="273"/>
        <v>1+1,31523033755752i</v>
      </c>
      <c r="AW303">
        <f t="shared" si="298"/>
        <v>1.6522199734997967</v>
      </c>
      <c r="AX303">
        <f t="shared" si="299"/>
        <v>0.92072110808931706</v>
      </c>
      <c r="AY303" t="str">
        <f t="shared" si="274"/>
        <v>1-0,0193536787646006i</v>
      </c>
      <c r="AZ303">
        <f t="shared" si="300"/>
        <v>1.0001872649067889</v>
      </c>
      <c r="BA303">
        <f t="shared" si="301"/>
        <v>-1.9351262904716001E-2</v>
      </c>
      <c r="BB303" s="58" t="str">
        <f t="shared" si="302"/>
        <v>-0,377745884215778+0,517301288466817i</v>
      </c>
      <c r="BC303">
        <f t="shared" si="303"/>
        <v>-3.8690634116546136</v>
      </c>
      <c r="BD303" s="60">
        <f t="shared" si="304"/>
        <v>126.13782070518538</v>
      </c>
      <c r="BE303" s="58" t="str">
        <f t="shared" si="305"/>
        <v>0,187357832522224+0,216463412069359i</v>
      </c>
      <c r="BF303" s="37">
        <f t="shared" si="306"/>
        <v>-10.864014088483035</v>
      </c>
      <c r="BG303" s="60">
        <f t="shared" si="307"/>
        <v>49.122487758782007</v>
      </c>
      <c r="BH303" s="58" t="str">
        <f t="shared" si="308"/>
        <v>0,0575078740485171+0,936686007825539i</v>
      </c>
      <c r="BI303" s="37">
        <f t="shared" si="309"/>
        <v>-0.55178003622350491</v>
      </c>
      <c r="BJ303" s="60">
        <f t="shared" si="310"/>
        <v>86.486733194897766</v>
      </c>
      <c r="BK303">
        <f t="shared" si="311"/>
        <v>-10.864014088483035</v>
      </c>
      <c r="BL303" s="60">
        <f t="shared" si="312"/>
        <v>49.122487758782007</v>
      </c>
      <c r="BN303">
        <f t="shared" si="313"/>
        <v>0</v>
      </c>
      <c r="BO303">
        <f t="shared" si="314"/>
        <v>0</v>
      </c>
    </row>
    <row r="304" spans="13:67" x14ac:dyDescent="0.25">
      <c r="M304" s="66">
        <v>86</v>
      </c>
      <c r="N304" s="36">
        <f t="shared" si="315"/>
        <v>7244.3596007499036</v>
      </c>
      <c r="O304" s="91" t="str">
        <f t="shared" si="263"/>
        <v>13,7404580152672</v>
      </c>
      <c r="P304" s="67" t="str">
        <f t="shared" si="264"/>
        <v>1+49,1590661076258i</v>
      </c>
      <c r="Q304" s="67">
        <f t="shared" si="275"/>
        <v>49.169236119487593</v>
      </c>
      <c r="R304" s="67">
        <f t="shared" si="276"/>
        <v>1.5504570042781858</v>
      </c>
      <c r="S304" s="67" t="str">
        <f t="shared" si="265"/>
        <v>1+1,36552961410072i</v>
      </c>
      <c r="T304" s="67">
        <f t="shared" si="277"/>
        <v>1.6925339367309777</v>
      </c>
      <c r="U304" s="67">
        <f t="shared" si="278"/>
        <v>0.93870898494692456</v>
      </c>
      <c r="V304" t="str">
        <f t="shared" si="266"/>
        <v>1-0,284485336270982i</v>
      </c>
      <c r="W304" s="67">
        <f t="shared" si="279"/>
        <v>1.0396787516118686</v>
      </c>
      <c r="X304" s="67">
        <f t="shared" si="280"/>
        <v>-0.2771630919907776</v>
      </c>
      <c r="Y304" t="str">
        <f t="shared" si="267"/>
        <v>0,996641232254401+0,493629110712235i</v>
      </c>
      <c r="Z304" s="67">
        <f t="shared" si="281"/>
        <v>1.1121885832771901</v>
      </c>
      <c r="AA304" s="67">
        <f t="shared" si="282"/>
        <v>0.45987466974523666</v>
      </c>
      <c r="AB304" s="92" t="str">
        <f t="shared" si="283"/>
        <v>0,0973567258166119-0,431294452939721i</v>
      </c>
      <c r="AC304" s="37">
        <f t="shared" si="284"/>
        <v>-7.0886826178862341</v>
      </c>
      <c r="AD304" s="60">
        <f t="shared" si="285"/>
        <v>-77.27973272241104</v>
      </c>
      <c r="AE304" t="str">
        <f t="shared" si="286"/>
        <v>21,0353732052265</v>
      </c>
      <c r="AF304" t="str">
        <f t="shared" si="268"/>
        <v>1+24,5795330538129i</v>
      </c>
      <c r="AG304">
        <f t="shared" si="287"/>
        <v>24.599866770848188</v>
      </c>
      <c r="AH304">
        <f t="shared" si="288"/>
        <v>1.5301344961207366</v>
      </c>
      <c r="AI304" t="str">
        <f t="shared" si="269"/>
        <v>1+1,36552961410072i</v>
      </c>
      <c r="AJ304">
        <f t="shared" si="289"/>
        <v>1.6925339367309777</v>
      </c>
      <c r="AK304">
        <f t="shared" si="290"/>
        <v>0.93870898494692456</v>
      </c>
      <c r="AL304" t="str">
        <f t="shared" si="270"/>
        <v>1-0,0929125217557326i</v>
      </c>
      <c r="AM304">
        <f t="shared" si="291"/>
        <v>1.0043070928252023</v>
      </c>
      <c r="AN304">
        <f t="shared" si="292"/>
        <v>-9.2646535006468286E-2</v>
      </c>
      <c r="AO304" s="58" t="str">
        <f t="shared" si="293"/>
        <v>1,12648739707752-0,918558726343547i</v>
      </c>
      <c r="AP304">
        <f t="shared" si="294"/>
        <v>3.2484276365919174</v>
      </c>
      <c r="AQ304" s="60">
        <f t="shared" si="295"/>
        <v>-39.194441129008375</v>
      </c>
      <c r="AR304" t="str">
        <f t="shared" si="271"/>
        <v>-1,05811623246493</v>
      </c>
      <c r="AS304" t="str">
        <f t="shared" si="272"/>
        <v>1+1,34586598765767i</v>
      </c>
      <c r="AT304">
        <f t="shared" si="296"/>
        <v>1.6767096518878142</v>
      </c>
      <c r="AU304">
        <f t="shared" si="297"/>
        <v>0.93177996453662593</v>
      </c>
      <c r="AV304" t="str">
        <f t="shared" si="273"/>
        <v>1+1,34586598765767i</v>
      </c>
      <c r="AW304">
        <f t="shared" si="298"/>
        <v>1.6767096518878142</v>
      </c>
      <c r="AX304">
        <f t="shared" si="299"/>
        <v>0.93177996453662593</v>
      </c>
      <c r="AY304" t="str">
        <f t="shared" si="274"/>
        <v>1-0,0189131352511897i</v>
      </c>
      <c r="AZ304">
        <f t="shared" si="300"/>
        <v>1.0001788373511158</v>
      </c>
      <c r="BA304">
        <f t="shared" si="301"/>
        <v>-1.8910880616763864E-2</v>
      </c>
      <c r="BB304" s="58" t="str">
        <f t="shared" si="302"/>
        <v>-0,366791910150655+0,513665051835843i</v>
      </c>
      <c r="BC304">
        <f t="shared" si="303"/>
        <v>-3.9969365258855816</v>
      </c>
      <c r="BD304" s="60">
        <f t="shared" si="304"/>
        <v>125.5294269509855</v>
      </c>
      <c r="BE304" s="58" t="str">
        <f t="shared" si="305"/>
        <v>0,185831228097505+0,2082040638443i</v>
      </c>
      <c r="BF304" s="37">
        <f t="shared" si="306"/>
        <v>-11.08561914377181</v>
      </c>
      <c r="BG304" s="60">
        <f t="shared" si="307"/>
        <v>48.249694228574427</v>
      </c>
      <c r="BH304" s="58" t="str">
        <f t="shared" si="308"/>
        <v>0,058645051646821+0,915557117033351i</v>
      </c>
      <c r="BI304" s="37">
        <f t="shared" si="309"/>
        <v>-0.74850888929366022</v>
      </c>
      <c r="BJ304" s="60">
        <f t="shared" si="310"/>
        <v>86.334985821977142</v>
      </c>
      <c r="BK304">
        <f t="shared" si="311"/>
        <v>-11.08561914377181</v>
      </c>
      <c r="BL304" s="60">
        <f t="shared" si="312"/>
        <v>48.249694228574427</v>
      </c>
      <c r="BN304">
        <f t="shared" si="313"/>
        <v>0</v>
      </c>
      <c r="BO304">
        <f t="shared" si="314"/>
        <v>0</v>
      </c>
    </row>
    <row r="305" spans="13:67" x14ac:dyDescent="0.25">
      <c r="M305" s="66">
        <v>87</v>
      </c>
      <c r="N305" s="36">
        <f t="shared" si="315"/>
        <v>7413.1024130091773</v>
      </c>
      <c r="O305" s="91" t="str">
        <f t="shared" si="263"/>
        <v>13,7404580152672</v>
      </c>
      <c r="P305" s="67" t="str">
        <f t="shared" si="264"/>
        <v>1+50,3041278549997i</v>
      </c>
      <c r="Q305" s="67">
        <f t="shared" si="275"/>
        <v>50.314066415388815</v>
      </c>
      <c r="R305" s="67">
        <f t="shared" si="276"/>
        <v>1.5509198604319687</v>
      </c>
      <c r="S305" s="67" t="str">
        <f t="shared" si="265"/>
        <v>1+1,39733688486111i</v>
      </c>
      <c r="T305" s="67">
        <f t="shared" si="277"/>
        <v>1.7182986846859167</v>
      </c>
      <c r="U305" s="67">
        <f t="shared" si="278"/>
        <v>0.94964600531930254</v>
      </c>
      <c r="V305" t="str">
        <f t="shared" si="266"/>
        <v>1-0,29111185101273i</v>
      </c>
      <c r="W305" s="67">
        <f t="shared" si="279"/>
        <v>1.0415114544737651</v>
      </c>
      <c r="X305" s="67">
        <f t="shared" si="280"/>
        <v>-0.28328271487972306</v>
      </c>
      <c r="Y305" t="str">
        <f t="shared" si="267"/>
        <v>0,996482938407311+0,50512720977761i</v>
      </c>
      <c r="Z305" s="67">
        <f t="shared" si="281"/>
        <v>1.117198167110286</v>
      </c>
      <c r="AA305" s="67">
        <f t="shared" si="282"/>
        <v>0.46916035058556455</v>
      </c>
      <c r="AB305" s="92" t="str">
        <f t="shared" si="283"/>
        <v>0,0942207648187087-0,427198935448035i</v>
      </c>
      <c r="AC305" s="37">
        <f t="shared" si="284"/>
        <v>-7.1811143094497956</v>
      </c>
      <c r="AD305" s="60">
        <f t="shared" si="285"/>
        <v>-77.562266204563116</v>
      </c>
      <c r="AE305" t="str">
        <f t="shared" si="286"/>
        <v>21,0353732052265</v>
      </c>
      <c r="AF305" t="str">
        <f t="shared" si="268"/>
        <v>1+25,1520639274999i</v>
      </c>
      <c r="AG305">
        <f t="shared" si="287"/>
        <v>25.1719351622604</v>
      </c>
      <c r="AH305">
        <f t="shared" si="288"/>
        <v>1.5310590870178542</v>
      </c>
      <c r="AI305" t="str">
        <f t="shared" si="269"/>
        <v>1+1,39733688486111i</v>
      </c>
      <c r="AJ305">
        <f t="shared" si="289"/>
        <v>1.7182986846859167</v>
      </c>
      <c r="AK305">
        <f t="shared" si="290"/>
        <v>0.94964600531930254</v>
      </c>
      <c r="AL305" t="str">
        <f t="shared" si="270"/>
        <v>1-0,0950767324077742i</v>
      </c>
      <c r="AM305">
        <f t="shared" si="291"/>
        <v>1.0045096241676033</v>
      </c>
      <c r="AN305">
        <f t="shared" si="292"/>
        <v>-9.4791791530743144E-2</v>
      </c>
      <c r="AO305" s="58" t="str">
        <f t="shared" si="293"/>
        <v>1,12500659230015-0,902709411241025i</v>
      </c>
      <c r="AP305">
        <f t="shared" si="294"/>
        <v>3.1817275375380465</v>
      </c>
      <c r="AQ305" s="60">
        <f t="shared" si="295"/>
        <v>-38.743685322217438</v>
      </c>
      <c r="AR305" t="str">
        <f t="shared" si="271"/>
        <v>-1,05811623246493</v>
      </c>
      <c r="AS305" t="str">
        <f t="shared" si="272"/>
        <v>1+1,3772152337191i</v>
      </c>
      <c r="AT305">
        <f t="shared" si="296"/>
        <v>1.7019758517640475</v>
      </c>
      <c r="AU305">
        <f t="shared" si="297"/>
        <v>0.9427655846750691</v>
      </c>
      <c r="AV305" t="str">
        <f t="shared" si="273"/>
        <v>1+1,3772152337191i</v>
      </c>
      <c r="AW305">
        <f t="shared" si="298"/>
        <v>1.7019758517640475</v>
      </c>
      <c r="AX305">
        <f t="shared" si="299"/>
        <v>0.9427655846750691</v>
      </c>
      <c r="AY305" t="str">
        <f t="shared" si="274"/>
        <v>1-0,018482619732434i</v>
      </c>
      <c r="AZ305">
        <f t="shared" si="300"/>
        <v>1.0001707890316403</v>
      </c>
      <c r="BA305">
        <f t="shared" si="301"/>
        <v>-1.8480515564839782E-2</v>
      </c>
      <c r="BB305" s="58" t="str">
        <f t="shared" si="302"/>
        <v>-0,355982533336045+0,509821327805683i</v>
      </c>
      <c r="BC305">
        <f t="shared" si="303"/>
        <v>-4.126917011144112</v>
      </c>
      <c r="BD305" s="60">
        <f t="shared" si="304"/>
        <v>124.92465538284398</v>
      </c>
      <c r="BE305" s="58" t="str">
        <f t="shared" si="305"/>
        <v>0,184254181954268+0,200111114705994i</v>
      </c>
      <c r="BF305" s="37">
        <f t="shared" si="306"/>
        <v>-11.308031320593908</v>
      </c>
      <c r="BG305" s="60">
        <f t="shared" si="307"/>
        <v>47.362389178280836</v>
      </c>
      <c r="BH305" s="58" t="str">
        <f t="shared" si="308"/>
        <v>0,0597378139148271+0,894901137756479i</v>
      </c>
      <c r="BI305" s="37">
        <f t="shared" si="309"/>
        <v>-0.94518947360606553</v>
      </c>
      <c r="BJ305" s="60">
        <f t="shared" si="310"/>
        <v>86.180970060626549</v>
      </c>
      <c r="BK305">
        <f t="shared" si="311"/>
        <v>-11.308031320593908</v>
      </c>
      <c r="BL305" s="60">
        <f t="shared" si="312"/>
        <v>47.362389178280836</v>
      </c>
      <c r="BN305">
        <f t="shared" si="313"/>
        <v>0</v>
      </c>
      <c r="BO305">
        <f t="shared" si="314"/>
        <v>0</v>
      </c>
    </row>
    <row r="306" spans="13:67" x14ac:dyDescent="0.25">
      <c r="M306" s="66">
        <v>88</v>
      </c>
      <c r="N306" s="36">
        <f t="shared" si="315"/>
        <v>7585.7757502918394</v>
      </c>
      <c r="O306" s="91" t="str">
        <f t="shared" si="263"/>
        <v>13,7404580152672</v>
      </c>
      <c r="P306" s="67" t="str">
        <f t="shared" si="264"/>
        <v>1+51,4758615168163i</v>
      </c>
      <c r="Q306" s="67">
        <f t="shared" si="275"/>
        <v>51.485573891124581</v>
      </c>
      <c r="R306" s="67">
        <f t="shared" si="276"/>
        <v>1.5513721889240002</v>
      </c>
      <c r="S306" s="67" t="str">
        <f t="shared" si="265"/>
        <v>1+1,42988504213379i</v>
      </c>
      <c r="T306" s="67">
        <f t="shared" si="277"/>
        <v>1.7448699761638258</v>
      </c>
      <c r="U306" s="67">
        <f t="shared" si="278"/>
        <v>0.96050208966717532</v>
      </c>
      <c r="V306" t="str">
        <f t="shared" si="266"/>
        <v>1-0,297892717111206i</v>
      </c>
      <c r="W306" s="67">
        <f t="shared" si="279"/>
        <v>1.043427079822973</v>
      </c>
      <c r="X306" s="67">
        <f t="shared" si="280"/>
        <v>-0.28952238790638124</v>
      </c>
      <c r="Y306" t="str">
        <f t="shared" si="267"/>
        <v>0,996317184401042+0,516893133975759i</v>
      </c>
      <c r="Z306" s="67">
        <f t="shared" si="281"/>
        <v>1.122419905331379</v>
      </c>
      <c r="AA306" s="67">
        <f t="shared" si="282"/>
        <v>0.47857723204502833</v>
      </c>
      <c r="AB306" s="92" t="str">
        <f t="shared" si="283"/>
        <v>0,0910150618188342-0,423221972698282i</v>
      </c>
      <c r="AC306" s="37">
        <f t="shared" si="284"/>
        <v>-7.2722907012114426</v>
      </c>
      <c r="AD306" s="60">
        <f t="shared" si="285"/>
        <v>-77.863229396710423</v>
      </c>
      <c r="AE306" t="str">
        <f t="shared" si="286"/>
        <v>21,0353732052265</v>
      </c>
      <c r="AF306" t="str">
        <f t="shared" si="268"/>
        <v>1+25,7379307584082i</v>
      </c>
      <c r="AG306">
        <f t="shared" si="287"/>
        <v>25.757350013629406</v>
      </c>
      <c r="AH306">
        <f t="shared" si="288"/>
        <v>1.5319626973456453</v>
      </c>
      <c r="AI306" t="str">
        <f t="shared" si="269"/>
        <v>1+1,42988504213379i</v>
      </c>
      <c r="AJ306">
        <f t="shared" si="289"/>
        <v>1.7448699761638258</v>
      </c>
      <c r="AK306">
        <f t="shared" si="290"/>
        <v>0.96050208966717532</v>
      </c>
      <c r="AL306" t="str">
        <f t="shared" si="270"/>
        <v>1-0,0972913540018278i</v>
      </c>
      <c r="AM306">
        <f t="shared" si="291"/>
        <v>1.0047216567604726</v>
      </c>
      <c r="AN306">
        <f t="shared" si="292"/>
        <v>-9.6986111791834279E-2</v>
      </c>
      <c r="AO306" s="58" t="str">
        <f t="shared" si="293"/>
        <v>1,12359222906834-0,887333431661513i</v>
      </c>
      <c r="AP306">
        <f t="shared" si="294"/>
        <v>3.1171575081973897</v>
      </c>
      <c r="AQ306" s="60">
        <f t="shared" si="295"/>
        <v>-38.299175855013871</v>
      </c>
      <c r="AR306" t="str">
        <f t="shared" si="271"/>
        <v>-1,05811623246493</v>
      </c>
      <c r="AS306" t="str">
        <f t="shared" si="272"/>
        <v>1+1,40929469752706i</v>
      </c>
      <c r="AT306">
        <f t="shared" si="296"/>
        <v>1.7280369048367823</v>
      </c>
      <c r="AU306">
        <f t="shared" si="297"/>
        <v>0.95367318723863803</v>
      </c>
      <c r="AV306" t="str">
        <f t="shared" si="273"/>
        <v>1+1,40929469752706i</v>
      </c>
      <c r="AW306">
        <f t="shared" si="298"/>
        <v>1.7280369048367823</v>
      </c>
      <c r="AX306">
        <f t="shared" si="299"/>
        <v>0.95367318723863803</v>
      </c>
      <c r="AY306" t="str">
        <f t="shared" si="274"/>
        <v>1-0,0180619039433068i</v>
      </c>
      <c r="AZ306">
        <f t="shared" si="300"/>
        <v>1.0001631028857529</v>
      </c>
      <c r="BA306">
        <f t="shared" si="301"/>
        <v>-1.8059940201739642E-2</v>
      </c>
      <c r="BB306" s="58" t="str">
        <f t="shared" si="302"/>
        <v>-0,345326137141926+0,505777887743254i</v>
      </c>
      <c r="BC306">
        <f t="shared" si="303"/>
        <v>-4.2589761487710547</v>
      </c>
      <c r="BD306" s="60">
        <f t="shared" si="304"/>
        <v>124.32379298461819</v>
      </c>
      <c r="BE306" s="58" t="str">
        <f t="shared" si="305"/>
        <v>0,182626435678239+0,192183014705035i</v>
      </c>
      <c r="BF306" s="37">
        <f t="shared" si="306"/>
        <v>-11.531266849982487</v>
      </c>
      <c r="BG306" s="60">
        <f t="shared" si="307"/>
        <v>46.460563587907707</v>
      </c>
      <c r="BH306" s="58" t="str">
        <f t="shared" si="308"/>
        <v>0,0607878646028772+0,874707530615479i</v>
      </c>
      <c r="BI306" s="37">
        <f t="shared" si="309"/>
        <v>-1.1418186405736646</v>
      </c>
      <c r="BJ306" s="60">
        <f t="shared" si="310"/>
        <v>86.024617129604323</v>
      </c>
      <c r="BK306">
        <f t="shared" si="311"/>
        <v>-11.531266849982487</v>
      </c>
      <c r="BL306" s="60">
        <f t="shared" si="312"/>
        <v>46.460563587907707</v>
      </c>
      <c r="BN306">
        <f t="shared" si="313"/>
        <v>0</v>
      </c>
      <c r="BO306">
        <f t="shared" si="314"/>
        <v>0</v>
      </c>
    </row>
    <row r="307" spans="13:67" x14ac:dyDescent="0.25">
      <c r="M307" s="66">
        <v>89</v>
      </c>
      <c r="N307" s="36">
        <f t="shared" si="315"/>
        <v>7762.4711662869322</v>
      </c>
      <c r="O307" s="91" t="str">
        <f t="shared" si="263"/>
        <v>13,7404580152672</v>
      </c>
      <c r="P307" s="67" t="str">
        <f t="shared" si="264"/>
        <v>1+52,6748883617727i</v>
      </c>
      <c r="Q307" s="67">
        <f t="shared" si="275"/>
        <v>52.684379695743004</v>
      </c>
      <c r="R307" s="67">
        <f t="shared" si="276"/>
        <v>1.5518142288440344</v>
      </c>
      <c r="S307" s="67" t="str">
        <f t="shared" si="265"/>
        <v>1+1,46319134338258i</v>
      </c>
      <c r="T307" s="67">
        <f t="shared" si="277"/>
        <v>1.7722666016572448</v>
      </c>
      <c r="U307" s="67">
        <f t="shared" si="278"/>
        <v>0.97127275866988649</v>
      </c>
      <c r="V307" t="str">
        <f t="shared" si="266"/>
        <v>1-0,30483152987137i</v>
      </c>
      <c r="W307" s="67">
        <f t="shared" si="279"/>
        <v>1.0454292236223932</v>
      </c>
      <c r="X307" s="67">
        <f t="shared" si="280"/>
        <v>-0.2958834752306107</v>
      </c>
      <c r="Y307" t="str">
        <f t="shared" si="267"/>
        <v>0,996143618649124+0,528933121755432i</v>
      </c>
      <c r="Z307" s="67">
        <f t="shared" si="281"/>
        <v>1.1278618515870276</v>
      </c>
      <c r="AA307" s="67">
        <f t="shared" si="282"/>
        <v>0.48812396954564763</v>
      </c>
      <c r="AB307" s="92" t="str">
        <f t="shared" si="283"/>
        <v>0,0877389125270281-0,419356976263339i</v>
      </c>
      <c r="AC307" s="37">
        <f t="shared" si="284"/>
        <v>-7.3622575944116893</v>
      </c>
      <c r="AD307" s="60">
        <f t="shared" si="285"/>
        <v>-78.182893765814214</v>
      </c>
      <c r="AE307" t="str">
        <f t="shared" si="286"/>
        <v>21,0353732052265</v>
      </c>
      <c r="AF307" t="str">
        <f t="shared" si="268"/>
        <v>1+26,3374441808864i</v>
      </c>
      <c r="AG307">
        <f t="shared" si="287"/>
        <v>26.356421721874671</v>
      </c>
      <c r="AH307">
        <f t="shared" si="288"/>
        <v>1.5328458003044323</v>
      </c>
      <c r="AI307" t="str">
        <f t="shared" si="269"/>
        <v>1+1,46319134338258i</v>
      </c>
      <c r="AJ307">
        <f t="shared" si="289"/>
        <v>1.7722666016572448</v>
      </c>
      <c r="AK307">
        <f t="shared" si="290"/>
        <v>0.97127275866988649</v>
      </c>
      <c r="AL307" t="str">
        <f t="shared" si="270"/>
        <v>1-0,0995575607595766i</v>
      </c>
      <c r="AM307">
        <f t="shared" si="291"/>
        <v>1.004943634192683</v>
      </c>
      <c r="AN307">
        <f t="shared" si="292"/>
        <v>-9.923057467492255E-2</v>
      </c>
      <c r="AO307" s="58" t="str">
        <f t="shared" si="293"/>
        <v>1,12224133507477-0,87242298728563i</v>
      </c>
      <c r="AP307">
        <f t="shared" si="294"/>
        <v>3.0546906082513283</v>
      </c>
      <c r="AQ307" s="60">
        <f t="shared" si="295"/>
        <v>-37.861258301514731</v>
      </c>
      <c r="AR307" t="str">
        <f t="shared" si="271"/>
        <v>-1,05811623246493</v>
      </c>
      <c r="AS307" t="str">
        <f t="shared" si="272"/>
        <v>1+1,44212138803787i</v>
      </c>
      <c r="AT307">
        <f t="shared" si="296"/>
        <v>1.7549114216496151</v>
      </c>
      <c r="AU307">
        <f t="shared" si="297"/>
        <v>0.9644981738702848</v>
      </c>
      <c r="AV307" t="str">
        <f t="shared" si="273"/>
        <v>1+1,44212138803787i</v>
      </c>
      <c r="AW307">
        <f t="shared" si="298"/>
        <v>1.7549114216496151</v>
      </c>
      <c r="AX307">
        <f t="shared" si="299"/>
        <v>0.9644981738702848</v>
      </c>
      <c r="AY307" t="str">
        <f t="shared" si="274"/>
        <v>1-0,017650764814728i</v>
      </c>
      <c r="AZ307">
        <f t="shared" si="300"/>
        <v>1.0001557626182758</v>
      </c>
      <c r="BA307">
        <f t="shared" si="301"/>
        <v>-1.7648932128323667E-2</v>
      </c>
      <c r="BB307" s="58" t="str">
        <f t="shared" si="302"/>
        <v>-0,334830549840305+0,501542858059069i</v>
      </c>
      <c r="BC307">
        <f t="shared" si="303"/>
        <v>-4.393083641035977</v>
      </c>
      <c r="BD307" s="60">
        <f t="shared" si="304"/>
        <v>123.72711596529182</v>
      </c>
      <c r="BE307" s="58" t="str">
        <f t="shared" si="305"/>
        <v>0,180947828098309+0,184418351893422i</v>
      </c>
      <c r="BF307" s="37">
        <f t="shared" si="306"/>
        <v>-11.755341235447659</v>
      </c>
      <c r="BG307" s="60">
        <f t="shared" si="307"/>
        <v>45.544222199477623</v>
      </c>
      <c r="BH307" s="58" t="str">
        <f t="shared" si="308"/>
        <v>0,0617968352030624+0,854965995151594i</v>
      </c>
      <c r="BI307" s="37">
        <f t="shared" si="309"/>
        <v>-1.3383930327846523</v>
      </c>
      <c r="BJ307" s="60">
        <f t="shared" si="310"/>
        <v>85.865857663777078</v>
      </c>
      <c r="BK307">
        <f t="shared" si="311"/>
        <v>-11.755341235447659</v>
      </c>
      <c r="BL307" s="60">
        <f t="shared" si="312"/>
        <v>45.544222199477623</v>
      </c>
      <c r="BN307">
        <f t="shared" si="313"/>
        <v>0</v>
      </c>
      <c r="BO307">
        <f t="shared" si="314"/>
        <v>0</v>
      </c>
    </row>
    <row r="308" spans="13:67" x14ac:dyDescent="0.25">
      <c r="M308" s="66">
        <v>90</v>
      </c>
      <c r="N308" s="36">
        <f t="shared" si="315"/>
        <v>7943.2823472428154</v>
      </c>
      <c r="O308" s="91" t="str">
        <f t="shared" si="263"/>
        <v>13,7404580152672</v>
      </c>
      <c r="P308" s="67" t="str">
        <f t="shared" si="264"/>
        <v>1+53,901844129773i</v>
      </c>
      <c r="Q308" s="67">
        <f t="shared" si="275"/>
        <v>53.911119452208972</v>
      </c>
      <c r="R308" s="67">
        <f t="shared" si="276"/>
        <v>1.5522462138760971</v>
      </c>
      <c r="S308" s="67" t="str">
        <f t="shared" si="265"/>
        <v>1+1,49727344804925i</v>
      </c>
      <c r="T308" s="67">
        <f t="shared" si="277"/>
        <v>1.8005076445917385</v>
      </c>
      <c r="U308" s="67">
        <f t="shared" si="278"/>
        <v>0.98195372732478969</v>
      </c>
      <c r="V308" t="str">
        <f t="shared" si="266"/>
        <v>1-0,311931968343594i</v>
      </c>
      <c r="W308" s="67">
        <f t="shared" si="279"/>
        <v>1.0475216240606726</v>
      </c>
      <c r="X308" s="67">
        <f t="shared" si="280"/>
        <v>-0.30236728968763615</v>
      </c>
      <c r="Y308" t="str">
        <f t="shared" si="267"/>
        <v>0,995961872995327+0,541253556877515i</v>
      </c>
      <c r="Z308" s="67">
        <f t="shared" si="281"/>
        <v>1.1335322956550118</v>
      </c>
      <c r="AA308" s="67">
        <f t="shared" si="282"/>
        <v>0.49779902492670924</v>
      </c>
      <c r="AB308" s="92" t="str">
        <f t="shared" si="283"/>
        <v>0,0843918018725334-0,415597347346309i</v>
      </c>
      <c r="AC308" s="37">
        <f t="shared" si="284"/>
        <v>-7.451061443125818</v>
      </c>
      <c r="AD308" s="60">
        <f t="shared" si="285"/>
        <v>-78.521505303350239</v>
      </c>
      <c r="AE308" t="str">
        <f t="shared" si="286"/>
        <v>21,0353732052265</v>
      </c>
      <c r="AF308" t="str">
        <f t="shared" si="268"/>
        <v>1+26,9509220648865i</v>
      </c>
      <c r="AG308">
        <f t="shared" si="287"/>
        <v>26.969467924814275</v>
      </c>
      <c r="AH308">
        <f t="shared" si="288"/>
        <v>1.5337088586142995</v>
      </c>
      <c r="AI308" t="str">
        <f t="shared" si="269"/>
        <v>1+1,49727344804925i</v>
      </c>
      <c r="AJ308">
        <f t="shared" si="289"/>
        <v>1.8005076445917385</v>
      </c>
      <c r="AK308">
        <f t="shared" si="290"/>
        <v>0.98195372732478969</v>
      </c>
      <c r="AL308" t="str">
        <f t="shared" si="270"/>
        <v>1-0,10187655425384i</v>
      </c>
      <c r="AM308">
        <f t="shared" si="291"/>
        <v>1.0051760205589046</v>
      </c>
      <c r="AN308">
        <f t="shared" si="292"/>
        <v>-0.10152627972035706</v>
      </c>
      <c r="AO308" s="58" t="str">
        <f t="shared" si="293"/>
        <v>1,12095107020447-0,857970501231495i</v>
      </c>
      <c r="AP308">
        <f t="shared" si="294"/>
        <v>2.9942986464782488</v>
      </c>
      <c r="AQ308" s="60">
        <f t="shared" si="295"/>
        <v>-37.430267685216606</v>
      </c>
      <c r="AR308" t="str">
        <f t="shared" si="271"/>
        <v>-1,05811623246493</v>
      </c>
      <c r="AS308" t="str">
        <f t="shared" si="272"/>
        <v>1+1,47571271039734i</v>
      </c>
      <c r="AT308">
        <f t="shared" si="296"/>
        <v>1.7826183000374094</v>
      </c>
      <c r="AU308">
        <f t="shared" si="297"/>
        <v>0.97523613643388707</v>
      </c>
      <c r="AV308" t="str">
        <f t="shared" si="273"/>
        <v>1+1,47571271039734i</v>
      </c>
      <c r="AW308">
        <f t="shared" si="298"/>
        <v>1.7826183000374094</v>
      </c>
      <c r="AX308">
        <f t="shared" si="299"/>
        <v>0.97523613643388707</v>
      </c>
      <c r="AY308" t="str">
        <f t="shared" si="274"/>
        <v>1-0,0172489843552894i</v>
      </c>
      <c r="AZ308">
        <f t="shared" si="300"/>
        <v>1.0001487526669666</v>
      </c>
      <c r="BA308">
        <f t="shared" si="301"/>
        <v>-1.7247273978434455E-2</v>
      </c>
      <c r="BB308" s="58" t="str">
        <f t="shared" si="302"/>
        <v>-0,324503029696713+0,49712467582575i</v>
      </c>
      <c r="BC308">
        <f t="shared" si="303"/>
        <v>-4.5292077206088992</v>
      </c>
      <c r="BD308" s="60">
        <f t="shared" si="304"/>
        <v>123.13488934662367</v>
      </c>
      <c r="BE308" s="58" t="str">
        <f t="shared" si="305"/>
        <v>0,179218301184374+0,176815845496029i</v>
      </c>
      <c r="BF308" s="37">
        <f t="shared" si="306"/>
        <v>-11.980269163734699</v>
      </c>
      <c r="BG308" s="60">
        <f t="shared" si="307"/>
        <v>44.613384043273442</v>
      </c>
      <c r="BH308" s="58" t="str">
        <f t="shared" si="308"/>
        <v>0,0627662888696398+0,835666464431952i</v>
      </c>
      <c r="BI308" s="37">
        <f t="shared" si="309"/>
        <v>-1.5349090741306508</v>
      </c>
      <c r="BJ308" s="60">
        <f t="shared" si="310"/>
        <v>85.704621661407046</v>
      </c>
      <c r="BK308">
        <f t="shared" si="311"/>
        <v>-11.980269163734699</v>
      </c>
      <c r="BL308" s="60">
        <f t="shared" si="312"/>
        <v>44.613384043273442</v>
      </c>
      <c r="BN308">
        <f t="shared" si="313"/>
        <v>0</v>
      </c>
      <c r="BO308">
        <f t="shared" si="314"/>
        <v>0</v>
      </c>
    </row>
    <row r="309" spans="13:67" x14ac:dyDescent="0.25">
      <c r="M309" s="66">
        <v>91</v>
      </c>
      <c r="N309" s="36">
        <f t="shared" si="315"/>
        <v>8128.3051616410066</v>
      </c>
      <c r="O309" s="91" t="str">
        <f t="shared" si="263"/>
        <v>13,7404580152672</v>
      </c>
      <c r="P309" s="67" t="str">
        <f t="shared" si="264"/>
        <v>1+55,1573793690064i</v>
      </c>
      <c r="Q309" s="67">
        <f t="shared" si="275"/>
        <v>55.166443594421537</v>
      </c>
      <c r="R309" s="67">
        <f t="shared" si="276"/>
        <v>1.5526683724190951</v>
      </c>
      <c r="S309" s="67" t="str">
        <f t="shared" si="265"/>
        <v>1+1,53214942691685i</v>
      </c>
      <c r="T309" s="67">
        <f t="shared" si="277"/>
        <v>1.8296124907754736</v>
      </c>
      <c r="U309" s="67">
        <f t="shared" si="278"/>
        <v>0.99254091064116312</v>
      </c>
      <c r="V309" t="str">
        <f t="shared" si="266"/>
        <v>1-0,319197797274342i</v>
      </c>
      <c r="W309" s="67">
        <f t="shared" si="279"/>
        <v>1.0497081660084349</v>
      </c>
      <c r="X309" s="67">
        <f t="shared" si="280"/>
        <v>-0.3089750876589259</v>
      </c>
      <c r="Y309" t="str">
        <f t="shared" si="267"/>
        <v>0,995771561932751+0,553860971799795i</v>
      </c>
      <c r="Z309" s="67">
        <f t="shared" si="281"/>
        <v>1.1394397656905799</v>
      </c>
      <c r="AA309" s="67">
        <f t="shared" si="282"/>
        <v>0.50760066201265741</v>
      </c>
      <c r="AB309" s="92" t="str">
        <f t="shared" si="283"/>
        <v>0,0809734122001276-0,411936483786237i</v>
      </c>
      <c r="AC309" s="37">
        <f t="shared" si="284"/>
        <v>-7.5387491506202098</v>
      </c>
      <c r="AD309" s="60">
        <f t="shared" si="285"/>
        <v>-78.879283658163743</v>
      </c>
      <c r="AE309" t="str">
        <f t="shared" si="286"/>
        <v>21,0353732052265</v>
      </c>
      <c r="AF309" t="str">
        <f t="shared" si="268"/>
        <v>1+27,5786896845032i</v>
      </c>
      <c r="AG309">
        <f t="shared" si="287"/>
        <v>27.596813669590976</v>
      </c>
      <c r="AH309">
        <f t="shared" si="288"/>
        <v>1.5345523247343242</v>
      </c>
      <c r="AI309" t="str">
        <f t="shared" si="269"/>
        <v>1+1,53214942691685i</v>
      </c>
      <c r="AJ309">
        <f t="shared" si="289"/>
        <v>1.8296124907754736</v>
      </c>
      <c r="AK309">
        <f t="shared" si="290"/>
        <v>0.99254091064116312</v>
      </c>
      <c r="AL309" t="str">
        <f t="shared" si="270"/>
        <v>1-0,104249564045665i</v>
      </c>
      <c r="AM309">
        <f t="shared" si="291"/>
        <v>1.0054193013880881</v>
      </c>
      <c r="AN309">
        <f t="shared" si="292"/>
        <v>-0.10387434729655658</v>
      </c>
      <c r="AO309" s="58" t="str">
        <f t="shared" si="293"/>
        <v>1,11971872072391-0,843968617586495i</v>
      </c>
      <c r="AP309">
        <f t="shared" si="294"/>
        <v>2.9359523023437735</v>
      </c>
      <c r="AQ309" s="60">
        <f t="shared" si="295"/>
        <v>-37.006528175224574</v>
      </c>
      <c r="AR309" t="str">
        <f t="shared" si="271"/>
        <v>-1,05811623246493</v>
      </c>
      <c r="AS309" t="str">
        <f t="shared" si="272"/>
        <v>1+1,51008647516924i</v>
      </c>
      <c r="AT309">
        <f t="shared" si="296"/>
        <v>1.8111767341949432</v>
      </c>
      <c r="AU309">
        <f t="shared" si="297"/>
        <v>0.98588286333430986</v>
      </c>
      <c r="AV309" t="str">
        <f t="shared" si="273"/>
        <v>1+1,51008647516924i</v>
      </c>
      <c r="AW309">
        <f t="shared" si="298"/>
        <v>1.8111767341949432</v>
      </c>
      <c r="AX309">
        <f t="shared" si="299"/>
        <v>0.98588286333430986</v>
      </c>
      <c r="AY309" t="str">
        <f t="shared" si="274"/>
        <v>1-0,0168563495356732i</v>
      </c>
      <c r="AZ309">
        <f t="shared" si="300"/>
        <v>1.0001420581695726</v>
      </c>
      <c r="BA309">
        <f t="shared" si="301"/>
        <v>-1.6854753306295472E-2</v>
      </c>
      <c r="BB309" s="58" t="str">
        <f t="shared" si="302"/>
        <v>-0,314350254027219+0,492532044136317i</v>
      </c>
      <c r="BC309">
        <f t="shared" si="303"/>
        <v>-4.6673152625245944</v>
      </c>
      <c r="BD309" s="60">
        <f t="shared" si="304"/>
        <v>122.5473666074862</v>
      </c>
      <c r="BE309" s="58" t="str">
        <f t="shared" si="305"/>
        <v>0,177437905719001+0,169374338552904i</v>
      </c>
      <c r="BF309" s="37">
        <f t="shared" si="306"/>
        <v>-12.206064413144821</v>
      </c>
      <c r="BG309" s="60">
        <f t="shared" si="307"/>
        <v>43.668082949322446</v>
      </c>
      <c r="BH309" s="58" t="str">
        <f t="shared" si="308"/>
        <v>0,0636977241081841+0,816799099705165i</v>
      </c>
      <c r="BI309" s="37">
        <f t="shared" si="309"/>
        <v>-1.7313629601808189</v>
      </c>
      <c r="BJ309" s="60">
        <f t="shared" si="310"/>
        <v>85.540838432261651</v>
      </c>
      <c r="BK309">
        <f t="shared" si="311"/>
        <v>-12.206064413144821</v>
      </c>
      <c r="BL309" s="60">
        <f t="shared" si="312"/>
        <v>43.668082949322446</v>
      </c>
      <c r="BN309">
        <f t="shared" si="313"/>
        <v>0</v>
      </c>
      <c r="BO309">
        <f t="shared" si="314"/>
        <v>0</v>
      </c>
    </row>
    <row r="310" spans="13:67" x14ac:dyDescent="0.25">
      <c r="M310" s="66">
        <v>92</v>
      </c>
      <c r="N310" s="36">
        <f t="shared" si="315"/>
        <v>8317.6377110267094</v>
      </c>
      <c r="O310" s="91" t="str">
        <f t="shared" si="263"/>
        <v>13,7404580152672</v>
      </c>
      <c r="P310" s="67" t="str">
        <f t="shared" si="264"/>
        <v>1+56,4421597808752i</v>
      </c>
      <c r="Q310" s="67">
        <f t="shared" si="275"/>
        <v>56.451017712082439</v>
      </c>
      <c r="R310" s="67">
        <f t="shared" si="276"/>
        <v>1.5530809277048407</v>
      </c>
      <c r="S310" s="67" t="str">
        <f t="shared" si="265"/>
        <v>1+1,56783777169098i</v>
      </c>
      <c r="T310" s="67">
        <f t="shared" si="277"/>
        <v>1.8596008384438143</v>
      </c>
      <c r="U310" s="67">
        <f t="shared" si="278"/>
        <v>1.0030304283439899</v>
      </c>
      <c r="V310" t="str">
        <f t="shared" si="266"/>
        <v>1-0,326632869102287i</v>
      </c>
      <c r="W310" s="67">
        <f t="shared" si="279"/>
        <v>1.0519928855168137</v>
      </c>
      <c r="X310" s="67">
        <f t="shared" si="280"/>
        <v>-0.31570806373470384</v>
      </c>
      <c r="Y310" t="str">
        <f t="shared" si="267"/>
        <v>0,995572281786119+0,566762051140538i</v>
      </c>
      <c r="Z310" s="67">
        <f t="shared" si="281"/>
        <v>1.1455930302135438</v>
      </c>
      <c r="AA310" s="67">
        <f t="shared" si="282"/>
        <v>0.51752694270368071</v>
      </c>
      <c r="AB310" s="92" t="str">
        <f t="shared" si="283"/>
        <v>0,0774836311132208-0,408367788052442i</v>
      </c>
      <c r="AC310" s="37">
        <f t="shared" si="284"/>
        <v>-7.6253678618842002</v>
      </c>
      <c r="AD310" s="60">
        <f t="shared" si="285"/>
        <v>-79.256421343915434</v>
      </c>
      <c r="AE310" t="str">
        <f t="shared" si="286"/>
        <v>21,0353732052265</v>
      </c>
      <c r="AF310" t="str">
        <f t="shared" si="268"/>
        <v>1+28,2210798904376i</v>
      </c>
      <c r="AG310">
        <f t="shared" si="287"/>
        <v>28.238791585024696</v>
      </c>
      <c r="AH310">
        <f t="shared" si="288"/>
        <v>1.5353766410780953</v>
      </c>
      <c r="AI310" t="str">
        <f t="shared" si="269"/>
        <v>1+1,56783777169098i</v>
      </c>
      <c r="AJ310">
        <f t="shared" si="289"/>
        <v>1.8596008384438143</v>
      </c>
      <c r="AK310">
        <f t="shared" si="290"/>
        <v>1.0030304283439899</v>
      </c>
      <c r="AL310" t="str">
        <f t="shared" si="270"/>
        <v>1-0,106677848336252i</v>
      </c>
      <c r="AM310">
        <f t="shared" si="291"/>
        <v>1.0056739846121368</v>
      </c>
      <c r="AN310">
        <f t="shared" si="292"/>
        <v>-0.1062759187562996</v>
      </c>
      <c r="AO310" s="58" t="str">
        <f t="shared" si="293"/>
        <v>1,11854169371942-0,830410198954211i</v>
      </c>
      <c r="AP310">
        <f t="shared" si="294"/>
        <v>2.8796212490967799</v>
      </c>
      <c r="AQ310" s="60">
        <f t="shared" si="295"/>
        <v>-36.590352838048886</v>
      </c>
      <c r="AR310" t="str">
        <f t="shared" si="271"/>
        <v>-1,05811623246493</v>
      </c>
      <c r="AS310" t="str">
        <f t="shared" si="272"/>
        <v>1+1,54526090777863i</v>
      </c>
      <c r="AT310">
        <f t="shared" si="296"/>
        <v>1.8406062243480639</v>
      </c>
      <c r="AU310">
        <f t="shared" si="297"/>
        <v>0.99643434484399951</v>
      </c>
      <c r="AV310" t="str">
        <f t="shared" si="273"/>
        <v>1+1,54526090777863i</v>
      </c>
      <c r="AW310">
        <f t="shared" si="298"/>
        <v>1.8406062243480639</v>
      </c>
      <c r="AX310">
        <f t="shared" si="299"/>
        <v>0.99643434484399951</v>
      </c>
      <c r="AY310" t="str">
        <f t="shared" si="274"/>
        <v>1-0,0164726521757011i</v>
      </c>
      <c r="AZ310">
        <f t="shared" si="300"/>
        <v>1.0001356649323638</v>
      </c>
      <c r="BA310">
        <f t="shared" si="301"/>
        <v>-1.6471162476341561E-2</v>
      </c>
      <c r="BB310" s="58" t="str">
        <f t="shared" si="302"/>
        <v>-0,304378312141619+0,487773887586943i</v>
      </c>
      <c r="BC310">
        <f t="shared" si="303"/>
        <v>-4.8073718978776956</v>
      </c>
      <c r="BD310" s="60">
        <f t="shared" si="304"/>
        <v>121.96478938498699</v>
      </c>
      <c r="BE310" s="58" t="str">
        <f t="shared" si="305"/>
        <v>0,175606806686774+0,162092790032857i</v>
      </c>
      <c r="BF310" s="37">
        <f t="shared" si="306"/>
        <v>-12.432739759761905</v>
      </c>
      <c r="BG310" s="60">
        <f t="shared" si="307"/>
        <v>42.708368041071594</v>
      </c>
      <c r="BH310" s="58" t="str">
        <f t="shared" si="308"/>
        <v>0,0645925782413975+0,798354285116474i</v>
      </c>
      <c r="BI310" s="37">
        <f t="shared" si="309"/>
        <v>-1.9277506487809126</v>
      </c>
      <c r="BJ310" s="60">
        <f t="shared" si="310"/>
        <v>85.374436546938085</v>
      </c>
      <c r="BK310">
        <f t="shared" si="311"/>
        <v>-12.432739759761905</v>
      </c>
      <c r="BL310" s="60">
        <f t="shared" si="312"/>
        <v>42.708368041071594</v>
      </c>
      <c r="BN310">
        <f t="shared" si="313"/>
        <v>0</v>
      </c>
      <c r="BO310">
        <f t="shared" si="314"/>
        <v>0</v>
      </c>
    </row>
    <row r="311" spans="13:67" x14ac:dyDescent="0.25">
      <c r="M311" s="66">
        <v>93</v>
      </c>
      <c r="N311" s="36">
        <f t="shared" si="315"/>
        <v>8511.3803820237772</v>
      </c>
      <c r="O311" s="91" t="str">
        <f t="shared" si="263"/>
        <v>13,7404580152672</v>
      </c>
      <c r="P311" s="67" t="str">
        <f t="shared" si="264"/>
        <v>1+57,7568665729603i</v>
      </c>
      <c r="Q311" s="67">
        <f t="shared" si="275"/>
        <v>57.765522903603483</v>
      </c>
      <c r="R311" s="67">
        <f t="shared" si="276"/>
        <v>1.5534840979135442</v>
      </c>
      <c r="S311" s="67" t="str">
        <f t="shared" si="265"/>
        <v>1+1,60435740480445i</v>
      </c>
      <c r="T311" s="67">
        <f t="shared" si="277"/>
        <v>1.890492708885932</v>
      </c>
      <c r="U311" s="67">
        <f t="shared" si="278"/>
        <v>1.0134186085995587</v>
      </c>
      <c r="V311" t="str">
        <f t="shared" si="266"/>
        <v>1-0,334241126000927i</v>
      </c>
      <c r="W311" s="67">
        <f t="shared" si="279"/>
        <v>1.0543799743500288</v>
      </c>
      <c r="X311" s="67">
        <f t="shared" si="280"/>
        <v>-0.32256734517278379</v>
      </c>
      <c r="Y311" t="str">
        <f t="shared" si="267"/>
        <v>0,99536360985552+0,57996363522278i</v>
      </c>
      <c r="Z311" s="67">
        <f t="shared" si="281"/>
        <v>1.1520010998282222</v>
      </c>
      <c r="AA311" s="67">
        <f t="shared" si="282"/>
        <v>0.52757572364444161</v>
      </c>
      <c r="AB311" s="92" t="str">
        <f t="shared" si="283"/>
        <v>0,0739225588613745-0,404884676222113i</v>
      </c>
      <c r="AC311" s="37">
        <f t="shared" si="284"/>
        <v>-7.7109647534755084</v>
      </c>
      <c r="AD311" s="60">
        <f t="shared" si="285"/>
        <v>-79.653083023885998</v>
      </c>
      <c r="AE311" t="str">
        <f t="shared" si="286"/>
        <v>21,0353732052265</v>
      </c>
      <c r="AF311" t="str">
        <f t="shared" si="268"/>
        <v>1+28,8784332864802i</v>
      </c>
      <c r="AG311">
        <f t="shared" si="287"/>
        <v>28.89574205798646</v>
      </c>
      <c r="AH311">
        <f t="shared" si="288"/>
        <v>1.5361822402255241</v>
      </c>
      <c r="AI311" t="str">
        <f t="shared" si="269"/>
        <v>1+1,60435740480445i</v>
      </c>
      <c r="AJ311">
        <f t="shared" si="289"/>
        <v>1.890492708885932</v>
      </c>
      <c r="AK311">
        <f t="shared" si="290"/>
        <v>1.0134186085995587</v>
      </c>
      <c r="AL311" t="str">
        <f t="shared" si="270"/>
        <v>1-0,109162694634076i</v>
      </c>
      <c r="AM311">
        <f t="shared" si="291"/>
        <v>1.0059406015763419</v>
      </c>
      <c r="AN311">
        <f t="shared" si="292"/>
        <v>-0.10873215657472188</v>
      </c>
      <c r="AO311" s="58" t="str">
        <f t="shared" si="293"/>
        <v>1,1174175117749-0,817288324021749i</v>
      </c>
      <c r="AP311">
        <f t="shared" si="294"/>
        <v>2.8252742776550281</v>
      </c>
      <c r="AQ311" s="60">
        <f t="shared" si="295"/>
        <v>-36.182043444186583</v>
      </c>
      <c r="AR311" t="str">
        <f t="shared" si="271"/>
        <v>-1,05811623246493</v>
      </c>
      <c r="AS311" t="str">
        <f t="shared" si="272"/>
        <v>1+1,58125465817527i</v>
      </c>
      <c r="AT311">
        <f t="shared" si="296"/>
        <v>1.8709265870153724</v>
      </c>
      <c r="AU311">
        <f t="shared" si="297"/>
        <v>1.0068867774429986</v>
      </c>
      <c r="AV311" t="str">
        <f t="shared" si="273"/>
        <v>1+1,58125465817527i</v>
      </c>
      <c r="AW311">
        <f t="shared" si="298"/>
        <v>1.8709265870153724</v>
      </c>
      <c r="AX311">
        <f t="shared" si="299"/>
        <v>1.0068867774429986</v>
      </c>
      <c r="AY311" t="str">
        <f t="shared" si="274"/>
        <v>1-0,0160976888339538i</v>
      </c>
      <c r="AZ311">
        <f t="shared" si="300"/>
        <v>1.0001295594000783</v>
      </c>
      <c r="BA311">
        <f t="shared" si="301"/>
        <v>-1.6096298555434475E-2</v>
      </c>
      <c r="BB311" s="58" t="str">
        <f t="shared" si="302"/>
        <v>-0,294592702054275+0,482859308248137i</v>
      </c>
      <c r="BC311">
        <f t="shared" si="303"/>
        <v>-4.9493421285070287</v>
      </c>
      <c r="BD311" s="60">
        <f t="shared" si="304"/>
        <v>121.38738723197908</v>
      </c>
      <c r="BE311" s="58" t="str">
        <f t="shared" si="305"/>
        <v>0,173725288323142+0,154970266424378i</v>
      </c>
      <c r="BF311" s="37">
        <f t="shared" si="306"/>
        <v>-12.660306881982535</v>
      </c>
      <c r="BG311" s="60">
        <f t="shared" si="307"/>
        <v>41.734304208093079</v>
      </c>
      <c r="BH311" s="58" t="str">
        <f t="shared" si="308"/>
        <v>0,0654522306598885+0,78032262249096i</v>
      </c>
      <c r="BI311" s="37">
        <f t="shared" si="309"/>
        <v>-2.1240678508519979</v>
      </c>
      <c r="BJ311" s="60">
        <f t="shared" si="310"/>
        <v>85.205343787792515</v>
      </c>
      <c r="BK311">
        <f t="shared" si="311"/>
        <v>-12.660306881982535</v>
      </c>
      <c r="BL311" s="60">
        <f t="shared" si="312"/>
        <v>41.734304208093079</v>
      </c>
      <c r="BN311">
        <f t="shared" si="313"/>
        <v>0</v>
      </c>
      <c r="BO311">
        <f t="shared" si="314"/>
        <v>0</v>
      </c>
    </row>
    <row r="312" spans="13:67" x14ac:dyDescent="0.25">
      <c r="M312" s="66">
        <v>94</v>
      </c>
      <c r="N312" s="36">
        <f t="shared" si="315"/>
        <v>8709.6358995608189</v>
      </c>
      <c r="O312" s="91" t="str">
        <f t="shared" si="263"/>
        <v>13,7404580152672</v>
      </c>
      <c r="P312" s="67" t="str">
        <f t="shared" si="264"/>
        <v>1+59,1021968202047i</v>
      </c>
      <c r="Q312" s="67">
        <f t="shared" si="275"/>
        <v>59.110656137233114</v>
      </c>
      <c r="R312" s="67">
        <f t="shared" si="276"/>
        <v>1.5538780962868155</v>
      </c>
      <c r="S312" s="67" t="str">
        <f t="shared" si="265"/>
        <v>1+1,64172768945013i</v>
      </c>
      <c r="T312" s="67">
        <f t="shared" si="277"/>
        <v>1.9223084576381757</v>
      </c>
      <c r="U312" s="67">
        <f t="shared" si="278"/>
        <v>1.023701990782097</v>
      </c>
      <c r="V312" t="str">
        <f t="shared" si="266"/>
        <v>1-0,342026601968777i</v>
      </c>
      <c r="W312" s="67">
        <f t="shared" si="279"/>
        <v>1.0568737845430307</v>
      </c>
      <c r="X312" s="67">
        <f t="shared" si="280"/>
        <v>-0.32955398616012788</v>
      </c>
      <c r="Y312" t="str">
        <f t="shared" si="267"/>
        <v>0,995145103519813+0,593472723701142i</v>
      </c>
      <c r="Z312" s="67">
        <f t="shared" si="281"/>
        <v>1.1586732286700645</v>
      </c>
      <c r="AA312" s="67">
        <f t="shared" si="282"/>
        <v>0.53774465352567014</v>
      </c>
      <c r="AB312" s="92" t="str">
        <f t="shared" si="283"/>
        <v>0,0702905151669592-0,401480587925058i</v>
      </c>
      <c r="AC312" s="37">
        <f t="shared" si="284"/>
        <v>-7.7955868218438944</v>
      </c>
      <c r="AD312" s="60">
        <f t="shared" si="285"/>
        <v>-80.069404875536733</v>
      </c>
      <c r="AE312" t="str">
        <f t="shared" si="286"/>
        <v>21,0353732052265</v>
      </c>
      <c r="AF312" t="str">
        <f t="shared" si="268"/>
        <v>1+29,5510984101024i</v>
      </c>
      <c r="AG312">
        <f t="shared" si="287"/>
        <v>29.568013413882856</v>
      </c>
      <c r="AH312">
        <f t="shared" si="288"/>
        <v>1.536969545130946</v>
      </c>
      <c r="AI312" t="str">
        <f t="shared" si="269"/>
        <v>1+1,64172768945013i</v>
      </c>
      <c r="AJ312">
        <f t="shared" si="289"/>
        <v>1.9223084576381757</v>
      </c>
      <c r="AK312">
        <f t="shared" si="290"/>
        <v>1.023701990782097</v>
      </c>
      <c r="AL312" t="str">
        <f t="shared" si="270"/>
        <v>1-0,111705420437534i</v>
      </c>
      <c r="AM312">
        <f t="shared" si="291"/>
        <v>1.006219708093181</v>
      </c>
      <c r="AN312">
        <f t="shared" si="292"/>
        <v>-0.11124424446718804</v>
      </c>
      <c r="AO312" s="58" t="str">
        <f t="shared" si="293"/>
        <v>1,11634380787897-0,804596285152557i</v>
      </c>
      <c r="AP312">
        <f t="shared" si="294"/>
        <v>2.7728794205946534</v>
      </c>
      <c r="AQ312" s="60">
        <f t="shared" si="295"/>
        <v>-35.781890328282159</v>
      </c>
      <c r="AR312" t="str">
        <f t="shared" si="271"/>
        <v>-1,05811623246493</v>
      </c>
      <c r="AS312" t="str">
        <f t="shared" si="272"/>
        <v>1+1,61808681072205i</v>
      </c>
      <c r="AT312">
        <f t="shared" si="296"/>
        <v>1.9021579658463321</v>
      </c>
      <c r="AU312">
        <f t="shared" si="297"/>
        <v>1.0172365671870087</v>
      </c>
      <c r="AV312" t="str">
        <f t="shared" si="273"/>
        <v>1+1,61808681072205i</v>
      </c>
      <c r="AW312">
        <f t="shared" si="298"/>
        <v>1.9021579658463321</v>
      </c>
      <c r="AX312">
        <f t="shared" si="299"/>
        <v>1.0172365671870087</v>
      </c>
      <c r="AY312" t="str">
        <f t="shared" si="274"/>
        <v>1-0,0157312606999044i</v>
      </c>
      <c r="AZ312">
        <f t="shared" si="300"/>
        <v>1.0001237286272175</v>
      </c>
      <c r="BA312">
        <f t="shared" si="301"/>
        <v>-1.5729963207419258E-2</v>
      </c>
      <c r="BB312" s="58" t="str">
        <f t="shared" si="302"/>
        <v>-0,28499833080907+0,477797542463662i</v>
      </c>
      <c r="BC312">
        <f t="shared" si="303"/>
        <v>-5.0931894419528811</v>
      </c>
      <c r="BD312" s="60">
        <f t="shared" si="304"/>
        <v>120.8153774301272</v>
      </c>
      <c r="BE312" s="58" t="str">
        <f t="shared" si="305"/>
        <v>0,171793758763166+0,148005932816163i</v>
      </c>
      <c r="BF312" s="37">
        <f t="shared" si="306"/>
        <v>-12.888776263796784</v>
      </c>
      <c r="BG312" s="60">
        <f t="shared" si="307"/>
        <v>40.745972554590395</v>
      </c>
      <c r="BH312" s="58" t="str">
        <f t="shared" si="308"/>
        <v>0,066278005866736+0,762694926192756i</v>
      </c>
      <c r="BI312" s="37">
        <f t="shared" si="309"/>
        <v>-2.3203100213582228</v>
      </c>
      <c r="BJ312" s="60">
        <f t="shared" si="310"/>
        <v>85.033487101845083</v>
      </c>
      <c r="BK312">
        <f t="shared" si="311"/>
        <v>-12.888776263796784</v>
      </c>
      <c r="BL312" s="60">
        <f t="shared" si="312"/>
        <v>40.745972554590395</v>
      </c>
      <c r="BN312">
        <f t="shared" si="313"/>
        <v>0</v>
      </c>
      <c r="BO312">
        <f t="shared" si="314"/>
        <v>0</v>
      </c>
    </row>
    <row r="313" spans="13:67" x14ac:dyDescent="0.25">
      <c r="M313" s="66">
        <v>95</v>
      </c>
      <c r="N313" s="36">
        <f t="shared" si="315"/>
        <v>8912.5093813374679</v>
      </c>
      <c r="O313" s="91" t="str">
        <f t="shared" si="263"/>
        <v>13,7404580152672</v>
      </c>
      <c r="P313" s="67" t="str">
        <f t="shared" si="264"/>
        <v>1+60,4788638345134i</v>
      </c>
      <c r="Q313" s="67">
        <f t="shared" si="275"/>
        <v>60.487130620600716</v>
      </c>
      <c r="R313" s="67">
        <f t="shared" si="276"/>
        <v>1.5542631312382285</v>
      </c>
      <c r="S313" s="67" t="str">
        <f t="shared" si="265"/>
        <v>1+1,6799684398476i</v>
      </c>
      <c r="T313" s="67">
        <f t="shared" si="277"/>
        <v>1.9550687862282443</v>
      </c>
      <c r="U313" s="67">
        <f t="shared" si="278"/>
        <v>1.033877327307734</v>
      </c>
      <c r="V313" t="str">
        <f t="shared" si="266"/>
        <v>1-0,349993424968249i</v>
      </c>
      <c r="W313" s="67">
        <f t="shared" si="279"/>
        <v>1.0594788329744984</v>
      </c>
      <c r="X313" s="67">
        <f t="shared" si="280"/>
        <v>-0.33666896188540818</v>
      </c>
      <c r="Y313" t="str">
        <f t="shared" si="267"/>
        <v>0,994916299297765+0,60729647927315i</v>
      </c>
      <c r="Z313" s="67">
        <f t="shared" si="281"/>
        <v>1.1656189155748646</v>
      </c>
      <c r="AA313" s="67">
        <f t="shared" si="282"/>
        <v>0.5480311710722211</v>
      </c>
      <c r="AB313" s="92" t="str">
        <f t="shared" si="283"/>
        <v>0,0665880453837991-0,398148997227944i</v>
      </c>
      <c r="AC313" s="37">
        <f t="shared" si="284"/>
        <v>-7.8792806713197328</v>
      </c>
      <c r="AD313" s="60">
        <f t="shared" si="285"/>
        <v>-80.505494036874708</v>
      </c>
      <c r="AE313" t="str">
        <f t="shared" si="286"/>
        <v>21,0353732052265</v>
      </c>
      <c r="AF313" t="str">
        <f t="shared" si="268"/>
        <v>1+30,2394319172567i</v>
      </c>
      <c r="AG313">
        <f t="shared" si="287"/>
        <v>30.255962101351251</v>
      </c>
      <c r="AH313">
        <f t="shared" si="288"/>
        <v>1.5377389693275307</v>
      </c>
      <c r="AI313" t="str">
        <f t="shared" si="269"/>
        <v>1+1,6799684398476i</v>
      </c>
      <c r="AJ313">
        <f t="shared" si="289"/>
        <v>1.9550687862282443</v>
      </c>
      <c r="AK313">
        <f t="shared" si="290"/>
        <v>1.033877327307734</v>
      </c>
      <c r="AL313" t="str">
        <f t="shared" si="270"/>
        <v>1-0,114307373933504i</v>
      </c>
      <c r="AM313">
        <f t="shared" si="291"/>
        <v>1.0065118855411366</v>
      </c>
      <c r="AN313">
        <f t="shared" si="292"/>
        <v>-0.11381338748513084</v>
      </c>
      <c r="AO313" s="58" t="str">
        <f t="shared" si="293"/>
        <v>1,11531832055212-0,792327586009135i</v>
      </c>
      <c r="AP313">
        <f t="shared" si="294"/>
        <v>2.7224040755932406</v>
      </c>
      <c r="AQ313" s="60">
        <f t="shared" si="295"/>
        <v>-35.390172301250928</v>
      </c>
      <c r="AR313" t="str">
        <f t="shared" si="271"/>
        <v>-1,05811623246493</v>
      </c>
      <c r="AS313" t="str">
        <f t="shared" si="272"/>
        <v>1+1,65577689431379i</v>
      </c>
      <c r="AT313">
        <f t="shared" si="296"/>
        <v>1.9343208430204692</v>
      </c>
      <c r="AU313">
        <f t="shared" si="297"/>
        <v>1.0274803321254891</v>
      </c>
      <c r="AV313" t="str">
        <f t="shared" si="273"/>
        <v>1+1,65577689431379i</v>
      </c>
      <c r="AW313">
        <f t="shared" si="298"/>
        <v>1.9343208430204692</v>
      </c>
      <c r="AX313">
        <f t="shared" si="299"/>
        <v>1.0274803321254891</v>
      </c>
      <c r="AY313" t="str">
        <f t="shared" si="274"/>
        <v>1-0,0153731734885059i</v>
      </c>
      <c r="AZ313">
        <f t="shared" si="300"/>
        <v>1.0001181602506315</v>
      </c>
      <c r="BA313">
        <f t="shared" si="301"/>
        <v>-1.5371962589973273E-2</v>
      </c>
      <c r="BB313" s="58" t="str">
        <f t="shared" si="302"/>
        <v>-0,275599518234014+0,47259791878858i</v>
      </c>
      <c r="BC313">
        <f t="shared" si="303"/>
        <v>-5.2388764260043104</v>
      </c>
      <c r="BD313" s="60">
        <f t="shared" si="304"/>
        <v>120.24896485727093</v>
      </c>
      <c r="BE313" s="58" t="str">
        <f t="shared" si="305"/>
        <v>0,169812754229767+0,14119904348596i</v>
      </c>
      <c r="BF313" s="37">
        <f t="shared" si="306"/>
        <v>-13.118157097324039</v>
      </c>
      <c r="BG313" s="60">
        <f t="shared" si="307"/>
        <v>39.743470820396162</v>
      </c>
      <c r="BH313" s="58" t="str">
        <f t="shared" si="308"/>
        <v>0,0670711763249629+0,745462218067343i</v>
      </c>
      <c r="BI313" s="37">
        <f t="shared" si="309"/>
        <v>-2.5164723504110711</v>
      </c>
      <c r="BJ313" s="60">
        <f t="shared" si="310"/>
        <v>84.858792556019992</v>
      </c>
      <c r="BK313">
        <f t="shared" si="311"/>
        <v>-13.118157097324039</v>
      </c>
      <c r="BL313" s="60">
        <f t="shared" si="312"/>
        <v>39.743470820396162</v>
      </c>
      <c r="BN313">
        <f t="shared" si="313"/>
        <v>0</v>
      </c>
      <c r="BO313">
        <f t="shared" si="314"/>
        <v>0</v>
      </c>
    </row>
    <row r="314" spans="13:67" x14ac:dyDescent="0.25">
      <c r="M314" s="66">
        <v>96</v>
      </c>
      <c r="N314" s="36">
        <f t="shared" si="315"/>
        <v>9120.1083935591087</v>
      </c>
      <c r="O314" s="91" t="str">
        <f t="shared" si="263"/>
        <v>13,7404580152672</v>
      </c>
      <c r="P314" s="67" t="str">
        <f t="shared" si="264"/>
        <v>1+61,8875975429595i</v>
      </c>
      <c r="Q314" s="67">
        <f t="shared" si="275"/>
        <v>61.895676178868307</v>
      </c>
      <c r="R314" s="67">
        <f t="shared" si="276"/>
        <v>1.5546394064614919</v>
      </c>
      <c r="S314" s="67" t="str">
        <f t="shared" si="265"/>
        <v>1+1,71909993174888i</v>
      </c>
      <c r="T314" s="67">
        <f t="shared" si="277"/>
        <v>1.988794754452808</v>
      </c>
      <c r="U314" s="67">
        <f t="shared" si="278"/>
        <v>1.0439415845681268</v>
      </c>
      <c r="V314" t="str">
        <f t="shared" si="266"/>
        <v>1-0,358145819114349i</v>
      </c>
      <c r="W314" s="67">
        <f t="shared" si="279"/>
        <v>1.062199805944761</v>
      </c>
      <c r="X314" s="67">
        <f t="shared" si="280"/>
        <v>-0.34391316243287046</v>
      </c>
      <c r="Y314" t="str">
        <f t="shared" si="267"/>
        <v>0,994676711864943+0,621442231476989i</v>
      </c>
      <c r="Z314" s="67">
        <f t="shared" si="281"/>
        <v>1.1728479049687366</v>
      </c>
      <c r="AA314" s="67">
        <f t="shared" si="282"/>
        <v>0.5584325037691692</v>
      </c>
      <c r="AB314" s="92" t="str">
        <f t="shared" si="283"/>
        <v>0,0628159258802378-0,394883424418242i</v>
      </c>
      <c r="AC314" s="37">
        <f t="shared" si="284"/>
        <v>-7.9620923029683262</v>
      </c>
      <c r="AD314" s="60">
        <f t="shared" si="285"/>
        <v>-80.961428136311085</v>
      </c>
      <c r="AE314" t="str">
        <f t="shared" si="286"/>
        <v>21,0353732052265</v>
      </c>
      <c r="AF314" t="str">
        <f t="shared" si="268"/>
        <v>1+30,9437987714798i</v>
      </c>
      <c r="AG314">
        <f t="shared" si="287"/>
        <v>30.95995288125992</v>
      </c>
      <c r="AH314">
        <f t="shared" si="288"/>
        <v>1.5384909171280128</v>
      </c>
      <c r="AI314" t="str">
        <f t="shared" si="269"/>
        <v>1+1,71909993174888i</v>
      </c>
      <c r="AJ314">
        <f t="shared" si="289"/>
        <v>1.988794754452808</v>
      </c>
      <c r="AK314">
        <f t="shared" si="290"/>
        <v>1.0439415845681268</v>
      </c>
      <c r="AL314" t="str">
        <f t="shared" si="270"/>
        <v>1-0,11696993471217i</v>
      </c>
      <c r="AM314">
        <f t="shared" si="291"/>
        <v>1.0068177420102256</v>
      </c>
      <c r="AN314">
        <f t="shared" si="292"/>
        <v>-0.11644081208778556</v>
      </c>
      <c r="AO314" s="58" t="str">
        <f t="shared" si="293"/>
        <v>1,1143388891847-0,780475939209996i</v>
      </c>
      <c r="AP314">
        <f t="shared" si="294"/>
        <v>2.6738151277180782</v>
      </c>
      <c r="AQ314" s="60">
        <f t="shared" si="295"/>
        <v>-35.007156612399221</v>
      </c>
      <c r="AR314" t="str">
        <f t="shared" si="271"/>
        <v>-1,05811623246493</v>
      </c>
      <c r="AS314" t="str">
        <f t="shared" si="272"/>
        <v>1+1,69434489273169i</v>
      </c>
      <c r="AT314">
        <f t="shared" si="296"/>
        <v>1.9674360511909814</v>
      </c>
      <c r="AU314">
        <f t="shared" si="297"/>
        <v>1.03761490379834</v>
      </c>
      <c r="AV314" t="str">
        <f t="shared" si="273"/>
        <v>1+1,69434489273169i</v>
      </c>
      <c r="AW314">
        <f t="shared" si="298"/>
        <v>1.9674360511909814</v>
      </c>
      <c r="AX314">
        <f t="shared" si="299"/>
        <v>1.03761490379834</v>
      </c>
      <c r="AY314" t="str">
        <f t="shared" si="274"/>
        <v>1-0,0150232373371791i</v>
      </c>
      <c r="AZ314">
        <f t="shared" si="300"/>
        <v>1.0001128424633339</v>
      </c>
      <c r="BA314">
        <f t="shared" si="301"/>
        <v>-1.5022107253704816E-2</v>
      </c>
      <c r="BB314" s="58" t="str">
        <f t="shared" si="302"/>
        <v>-0,266400003914779+0,46726981734735i</v>
      </c>
      <c r="BC314">
        <f t="shared" si="303"/>
        <v>-5.3863648821917041</v>
      </c>
      <c r="BD314" s="60">
        <f t="shared" si="304"/>
        <v>119.68834190745206</v>
      </c>
      <c r="BE314" s="58" t="str">
        <f t="shared" si="305"/>
        <v>0,167782942701002+0,134548932023464i</v>
      </c>
      <c r="BF314" s="37">
        <f t="shared" si="306"/>
        <v>-13.348457185160051</v>
      </c>
      <c r="BG314" s="60">
        <f t="shared" si="307"/>
        <v>38.726913771140943</v>
      </c>
      <c r="BH314" s="58" t="str">
        <f t="shared" si="308"/>
        <v>0,0678329651174617+0,728615722473317i</v>
      </c>
      <c r="BI314" s="37">
        <f t="shared" si="309"/>
        <v>-2.7125497544736317</v>
      </c>
      <c r="BJ314" s="60">
        <f t="shared" si="310"/>
        <v>84.681185295052856</v>
      </c>
      <c r="BK314">
        <f t="shared" si="311"/>
        <v>-13.348457185160051</v>
      </c>
      <c r="BL314" s="60">
        <f t="shared" si="312"/>
        <v>38.726913771140943</v>
      </c>
      <c r="BN314">
        <f t="shared" si="313"/>
        <v>0</v>
      </c>
      <c r="BO314">
        <f t="shared" si="314"/>
        <v>0</v>
      </c>
    </row>
    <row r="315" spans="13:67" x14ac:dyDescent="0.25">
      <c r="M315" s="66">
        <v>97</v>
      </c>
      <c r="N315" s="36">
        <f t="shared" si="315"/>
        <v>9332.5430079699217</v>
      </c>
      <c r="O315" s="91" t="str">
        <f t="shared" si="263"/>
        <v>13,7404580152672</v>
      </c>
      <c r="P315" s="67" t="str">
        <f t="shared" si="264"/>
        <v>1+63,3291448748021i</v>
      </c>
      <c r="Q315" s="67">
        <f t="shared" si="275"/>
        <v>63.33703964169522</v>
      </c>
      <c r="R315" s="67">
        <f t="shared" si="276"/>
        <v>1.5550071210362715</v>
      </c>
      <c r="S315" s="67" t="str">
        <f t="shared" si="265"/>
        <v>1+1,75914291318895i</v>
      </c>
      <c r="T315" s="67">
        <f t="shared" si="277"/>
        <v>2.0235077931707863</v>
      </c>
      <c r="U315" s="67">
        <f t="shared" si="278"/>
        <v>1.0538919430016314</v>
      </c>
      <c r="V315" t="str">
        <f t="shared" si="266"/>
        <v>1-0,366488106914364i</v>
      </c>
      <c r="W315" s="67">
        <f t="shared" si="279"/>
        <v>1.0650415637474784</v>
      </c>
      <c r="X315" s="67">
        <f t="shared" si="280"/>
        <v>-0.35128738650997937</v>
      </c>
      <c r="Y315" t="str">
        <f t="shared" si="267"/>
        <v>0,994425833024281+0,635917480577717i</v>
      </c>
      <c r="Z315" s="67">
        <f t="shared" si="281"/>
        <v>1.1803701874794814</v>
      </c>
      <c r="AA315" s="67">
        <f t="shared" si="282"/>
        <v>0.56894566737491936</v>
      </c>
      <c r="AB315" s="92" t="str">
        <f t="shared" si="283"/>
        <v>0,0589751685399284-0,391677448635324i</v>
      </c>
      <c r="AC315" s="37">
        <f t="shared" si="284"/>
        <v>-8.0440669055230565</v>
      </c>
      <c r="AD315" s="60">
        <f t="shared" si="285"/>
        <v>-81.437254907371383</v>
      </c>
      <c r="AE315" t="str">
        <f t="shared" si="286"/>
        <v>21,0353732052265</v>
      </c>
      <c r="AF315" t="str">
        <f t="shared" si="268"/>
        <v>1+31,6645724374011i</v>
      </c>
      <c r="AG315">
        <f t="shared" si="287"/>
        <v>31.680359020115628</v>
      </c>
      <c r="AH315">
        <f t="shared" si="288"/>
        <v>1.5392257838217611</v>
      </c>
      <c r="AI315" t="str">
        <f t="shared" si="269"/>
        <v>1+1,75914291318895i</v>
      </c>
      <c r="AJ315">
        <f t="shared" si="289"/>
        <v>2.0235077931707863</v>
      </c>
      <c r="AK315">
        <f t="shared" si="290"/>
        <v>1.0538919430016314</v>
      </c>
      <c r="AL315" t="str">
        <f t="shared" si="270"/>
        <v>1-0,119694514498501i</v>
      </c>
      <c r="AM315">
        <f t="shared" si="291"/>
        <v>1.0071379134959779</v>
      </c>
      <c r="AN315">
        <f t="shared" si="292"/>
        <v>-0.11912776618764162</v>
      </c>
      <c r="AO315" s="58" t="str">
        <f t="shared" si="293"/>
        <v>1,11340344957719-0,769035264024631i</v>
      </c>
      <c r="AP315">
        <f t="shared" si="294"/>
        <v>2.6270790699967383</v>
      </c>
      <c r="AQ315" s="60">
        <f t="shared" si="295"/>
        <v>-34.633098959240698</v>
      </c>
      <c r="AR315" t="str">
        <f t="shared" si="271"/>
        <v>-1,05811623246493</v>
      </c>
      <c r="AS315" t="str">
        <f t="shared" si="272"/>
        <v>1+1,73381125523903i</v>
      </c>
      <c r="AT315">
        <f t="shared" si="296"/>
        <v>2.0015247859553327</v>
      </c>
      <c r="AU315">
        <f t="shared" si="297"/>
        <v>1.0476373278456934</v>
      </c>
      <c r="AV315" t="str">
        <f t="shared" si="273"/>
        <v>1+1,73381125523903i</v>
      </c>
      <c r="AW315">
        <f t="shared" si="298"/>
        <v>2.0015247859553327</v>
      </c>
      <c r="AX315">
        <f t="shared" si="299"/>
        <v>1.0476373278456934</v>
      </c>
      <c r="AY315" t="str">
        <f t="shared" si="274"/>
        <v>1-0,0146812667051445i</v>
      </c>
      <c r="AZ315">
        <f t="shared" si="300"/>
        <v>1.0001077639894951</v>
      </c>
      <c r="BA315">
        <f t="shared" si="301"/>
        <v>-1.4680212043455064E-2</v>
      </c>
      <c r="BB315" s="58" t="str">
        <f t="shared" si="302"/>
        <v>-0,257402957154754+0,461822630860582i</v>
      </c>
      <c r="BC315">
        <f t="shared" si="303"/>
        <v>-5.5356159376234082</v>
      </c>
      <c r="BD315" s="60">
        <f t="shared" si="304"/>
        <v>119.13368846163135</v>
      </c>
      <c r="BE315" s="58" t="str">
        <f t="shared" si="305"/>
        <v>0,165705126996648+0,128055001020118i</v>
      </c>
      <c r="BF315" s="37">
        <f t="shared" si="306"/>
        <v>-13.579682843146463</v>
      </c>
      <c r="BG315" s="60">
        <f t="shared" si="307"/>
        <v>37.696433554260096</v>
      </c>
      <c r="BH315" s="58" t="str">
        <f t="shared" si="308"/>
        <v>0,0685645484289446+0,712146861409212i</v>
      </c>
      <c r="BI315" s="37">
        <f t="shared" si="309"/>
        <v>-2.9085368676266707</v>
      </c>
      <c r="BJ315" s="60">
        <f t="shared" si="310"/>
        <v>84.500589502390639</v>
      </c>
      <c r="BK315">
        <f t="shared" si="311"/>
        <v>-13.579682843146463</v>
      </c>
      <c r="BL315" s="60">
        <f t="shared" si="312"/>
        <v>37.696433554260096</v>
      </c>
      <c r="BN315">
        <f t="shared" si="313"/>
        <v>0</v>
      </c>
      <c r="BO315">
        <f t="shared" si="314"/>
        <v>0</v>
      </c>
    </row>
    <row r="316" spans="13:67" x14ac:dyDescent="0.25">
      <c r="M316" s="66">
        <v>98</v>
      </c>
      <c r="N316" s="36">
        <f t="shared" si="315"/>
        <v>9549.9258602143691</v>
      </c>
      <c r="O316" s="91" t="str">
        <f t="shared" si="263"/>
        <v>13,7404580152672</v>
      </c>
      <c r="P316" s="67" t="str">
        <f t="shared" si="264"/>
        <v>1+64,8042701575176i</v>
      </c>
      <c r="Q316" s="67">
        <f t="shared" si="275"/>
        <v>64.811985239217336</v>
      </c>
      <c r="R316" s="67">
        <f t="shared" si="276"/>
        <v>1.5553664695317126</v>
      </c>
      <c r="S316" s="67" t="str">
        <f t="shared" si="265"/>
        <v>1+1,8001186154866i</v>
      </c>
      <c r="T316" s="67">
        <f t="shared" si="277"/>
        <v>2.0592297175937886</v>
      </c>
      <c r="U316" s="67">
        <f t="shared" si="278"/>
        <v>1.0637257963445201</v>
      </c>
      <c r="V316" t="str">
        <f t="shared" si="266"/>
        <v>1-0,375024711559708i</v>
      </c>
      <c r="W316" s="67">
        <f t="shared" si="279"/>
        <v>1.0680091452232243</v>
      </c>
      <c r="X316" s="67">
        <f t="shared" si="280"/>
        <v>-0.3587923350236159</v>
      </c>
      <c r="Y316" t="str">
        <f t="shared" si="267"/>
        <v>0,994163130628122+0,65072990154401i</v>
      </c>
      <c r="Z316" s="67">
        <f t="shared" si="281"/>
        <v>1.188196000272592</v>
      </c>
      <c r="AA316" s="67">
        <f t="shared" si="282"/>
        <v>0.57956746626691824</v>
      </c>
      <c r="AB316" s="92" t="str">
        <f t="shared" si="283"/>
        <v>0,0550670242762268-0,388524721283172i</v>
      </c>
      <c r="AC316" s="37">
        <f t="shared" si="284"/>
        <v>-8.1252486496145959</v>
      </c>
      <c r="AD316" s="60">
        <f t="shared" si="285"/>
        <v>-81.932991889278881</v>
      </c>
      <c r="AE316" t="str">
        <f t="shared" si="286"/>
        <v>21,0353732052265</v>
      </c>
      <c r="AF316" t="str">
        <f t="shared" si="268"/>
        <v>1+32,4021350787588i</v>
      </c>
      <c r="AG316">
        <f t="shared" si="287"/>
        <v>32.417562487980675</v>
      </c>
      <c r="AH316">
        <f t="shared" si="288"/>
        <v>1.5399439558682131</v>
      </c>
      <c r="AI316" t="str">
        <f t="shared" si="269"/>
        <v>1+1,8001186154866i</v>
      </c>
      <c r="AJ316">
        <f t="shared" si="289"/>
        <v>2.0592297175937886</v>
      </c>
      <c r="AK316">
        <f t="shared" si="290"/>
        <v>1.0637257963445201</v>
      </c>
      <c r="AL316" t="str">
        <f t="shared" si="270"/>
        <v>1-0,122482557900763i</v>
      </c>
      <c r="AM316">
        <f t="shared" si="291"/>
        <v>1.0074730651436363</v>
      </c>
      <c r="AN316">
        <f t="shared" si="292"/>
        <v>-0.12187551916727658</v>
      </c>
      <c r="AO316" s="58" t="str">
        <f t="shared" si="293"/>
        <v>1,11251002967406-0,757999684110047i</v>
      </c>
      <c r="AP316">
        <f t="shared" si="294"/>
        <v>2.5821621217534978</v>
      </c>
      <c r="AQ316" s="60">
        <f t="shared" si="295"/>
        <v>-34.268243542446186</v>
      </c>
      <c r="AR316" t="str">
        <f t="shared" si="271"/>
        <v>-1,05811623246493</v>
      </c>
      <c r="AS316" t="str">
        <f t="shared" si="272"/>
        <v>1+1,77419690742359i</v>
      </c>
      <c r="AT316">
        <f t="shared" si="296"/>
        <v>2.0366086188346131</v>
      </c>
      <c r="AU316">
        <f t="shared" si="297"/>
        <v>1.0575448637704399</v>
      </c>
      <c r="AV316" t="str">
        <f t="shared" si="273"/>
        <v>1+1,77419690742359i</v>
      </c>
      <c r="AW316">
        <f t="shared" si="298"/>
        <v>2.0366086188346131</v>
      </c>
      <c r="AX316">
        <f t="shared" si="299"/>
        <v>1.0575448637704399</v>
      </c>
      <c r="AY316" t="str">
        <f t="shared" si="274"/>
        <v>1-0,0143470802750465i</v>
      </c>
      <c r="AZ316">
        <f t="shared" si="300"/>
        <v>1.0001029140605573</v>
      </c>
      <c r="BA316">
        <f t="shared" si="301"/>
        <v>-1.4346096001760974E-2</v>
      </c>
      <c r="BB316" s="58" t="str">
        <f t="shared" si="302"/>
        <v>-0,248610989672319+0,456265727555651i</v>
      </c>
      <c r="BC316">
        <f t="shared" si="303"/>
        <v>-5.6865901546108066</v>
      </c>
      <c r="BD316" s="60">
        <f t="shared" si="304"/>
        <v>118.58517190682578</v>
      </c>
      <c r="BE316" s="58" t="str">
        <f t="shared" si="305"/>
        <v>0,163580247226001+0,121716711366089i</v>
      </c>
      <c r="BF316" s="37">
        <f t="shared" si="306"/>
        <v>-13.811838804225376</v>
      </c>
      <c r="BG316" s="60">
        <f t="shared" si="307"/>
        <v>36.652180017546918</v>
      </c>
      <c r="BH316" s="58" t="str">
        <f t="shared" si="308"/>
        <v>0,0692670578597752+0,696047249740098i</v>
      </c>
      <c r="BI316" s="37">
        <f t="shared" si="309"/>
        <v>-3.1044280328573026</v>
      </c>
      <c r="BJ316" s="60">
        <f t="shared" si="310"/>
        <v>84.316928364379578</v>
      </c>
      <c r="BK316">
        <f t="shared" si="311"/>
        <v>-13.811838804225376</v>
      </c>
      <c r="BL316" s="60">
        <f t="shared" si="312"/>
        <v>36.652180017546918</v>
      </c>
      <c r="BN316">
        <f t="shared" si="313"/>
        <v>0</v>
      </c>
      <c r="BO316">
        <f t="shared" si="314"/>
        <v>0</v>
      </c>
    </row>
    <row r="317" spans="13:67" x14ac:dyDescent="0.25">
      <c r="M317" s="66">
        <v>99</v>
      </c>
      <c r="N317" s="36">
        <f t="shared" si="315"/>
        <v>9772.3722095581161</v>
      </c>
      <c r="O317" s="91" t="str">
        <f t="shared" si="263"/>
        <v>13,7404580152672</v>
      </c>
      <c r="P317" s="67" t="str">
        <f t="shared" si="264"/>
        <v>1+66,3137555220566i</v>
      </c>
      <c r="Q317" s="67">
        <f t="shared" si="275"/>
        <v>66.321295007253084</v>
      </c>
      <c r="R317" s="67">
        <f t="shared" si="276"/>
        <v>1.5557176421077057</v>
      </c>
      <c r="S317" s="67" t="str">
        <f t="shared" si="265"/>
        <v>1+1,84204876450157i</v>
      </c>
      <c r="T317" s="67">
        <f t="shared" si="277"/>
        <v>2.0959827410553169</v>
      </c>
      <c r="U317" s="67">
        <f t="shared" si="278"/>
        <v>1.073440750108783</v>
      </c>
      <c r="V317" t="str">
        <f t="shared" si="266"/>
        <v>1-0,383760159271161i</v>
      </c>
      <c r="W317" s="67">
        <f t="shared" si="279"/>
        <v>1.0711077722824287</v>
      </c>
      <c r="X317" s="67">
        <f t="shared" si="280"/>
        <v>-0.36642860452207859</v>
      </c>
      <c r="Y317" t="str">
        <f t="shared" si="267"/>
        <v>0,993888047449463+0,665887348117531i</v>
      </c>
      <c r="Z317" s="67">
        <f t="shared" si="281"/>
        <v>1.1963358271179141</v>
      </c>
      <c r="AA317" s="67">
        <f t="shared" si="282"/>
        <v>0.59029449466138351</v>
      </c>
      <c r="AB317" s="92" t="str">
        <f t="shared" si="283"/>
        <v>0,0510929854602448-0,385418980146027i</v>
      </c>
      <c r="AC317" s="37">
        <f t="shared" si="284"/>
        <v>-8.2056804865126196</v>
      </c>
      <c r="AD317" s="60">
        <f t="shared" si="285"/>
        <v>-82.448626214113347</v>
      </c>
      <c r="AE317" t="str">
        <f t="shared" si="286"/>
        <v>21,0353732052265</v>
      </c>
      <c r="AF317" t="str">
        <f t="shared" si="268"/>
        <v>1+33,1568777610283i</v>
      </c>
      <c r="AG317">
        <f t="shared" si="287"/>
        <v>33.171954161004336</v>
      </c>
      <c r="AH317">
        <f t="shared" si="288"/>
        <v>1.5406458110867005</v>
      </c>
      <c r="AI317" t="str">
        <f t="shared" si="269"/>
        <v>1+1,84204876450157i</v>
      </c>
      <c r="AJ317">
        <f t="shared" si="289"/>
        <v>2.0959827410553169</v>
      </c>
      <c r="AK317">
        <f t="shared" si="290"/>
        <v>1.073440750108783</v>
      </c>
      <c r="AL317" t="str">
        <f t="shared" si="270"/>
        <v>1-0,125335543176473i</v>
      </c>
      <c r="AM317">
        <f t="shared" si="291"/>
        <v>1.0078238925443976</v>
      </c>
      <c r="AN317">
        <f t="shared" si="292"/>
        <v>-0.12468536186511538</v>
      </c>
      <c r="AO317" s="58" t="str">
        <f t="shared" si="293"/>
        <v>1,1116567454833-0,747363525292186i</v>
      </c>
      <c r="AP317">
        <f t="shared" si="294"/>
        <v>2.5390303442480455</v>
      </c>
      <c r="AQ317" s="60">
        <f t="shared" si="295"/>
        <v>-33.912823163119384</v>
      </c>
      <c r="AR317" t="str">
        <f t="shared" si="271"/>
        <v>-1,05811623246493</v>
      </c>
      <c r="AS317" t="str">
        <f t="shared" si="272"/>
        <v>1+1,81552326229275i</v>
      </c>
      <c r="AT317">
        <f t="shared" si="296"/>
        <v>2.0727095107433917</v>
      </c>
      <c r="AU317">
        <f t="shared" si="297"/>
        <v>1.0673349838976465</v>
      </c>
      <c r="AV317" t="str">
        <f t="shared" si="273"/>
        <v>1+1,81552326229275i</v>
      </c>
      <c r="AW317">
        <f t="shared" si="298"/>
        <v>2.0727095107433917</v>
      </c>
      <c r="AX317">
        <f t="shared" si="299"/>
        <v>1.0673349838976465</v>
      </c>
      <c r="AY317" t="str">
        <f t="shared" si="274"/>
        <v>1-0,0140205008568163i</v>
      </c>
      <c r="AZ317">
        <f t="shared" si="300"/>
        <v>1.0000982823924236</v>
      </c>
      <c r="BA317">
        <f t="shared" si="301"/>
        <v>-1.4019582274434292E-2</v>
      </c>
      <c r="BB317" s="58" t="str">
        <f t="shared" si="302"/>
        <v>-0,240026170773576+0,450608416142364i</v>
      </c>
      <c r="BC317">
        <f t="shared" si="303"/>
        <v>-5.8392476375776559</v>
      </c>
      <c r="BD317" s="60">
        <f t="shared" si="304"/>
        <v>118.04294720113974</v>
      </c>
      <c r="BE317" s="58" t="str">
        <f t="shared" si="305"/>
        <v>0,161409382541394+0,115533571202134i</v>
      </c>
      <c r="BF317" s="37">
        <f t="shared" si="306"/>
        <v>-14.044928124090262</v>
      </c>
      <c r="BG317" s="60">
        <f t="shared" si="307"/>
        <v>35.594320987026499</v>
      </c>
      <c r="BH317" s="58" t="str">
        <f t="shared" si="308"/>
        <v>0,0699415825815133+0,680308690527929i</v>
      </c>
      <c r="BI317" s="37">
        <f t="shared" si="309"/>
        <v>-3.3002172933296094</v>
      </c>
      <c r="BJ317" s="60">
        <f t="shared" si="310"/>
        <v>84.130124038020369</v>
      </c>
      <c r="BK317">
        <f t="shared" si="311"/>
        <v>-14.044928124090262</v>
      </c>
      <c r="BL317" s="60">
        <f t="shared" si="312"/>
        <v>35.594320987026499</v>
      </c>
      <c r="BN317">
        <f t="shared" si="313"/>
        <v>0</v>
      </c>
      <c r="BO317">
        <f t="shared" si="314"/>
        <v>0</v>
      </c>
    </row>
    <row r="318" spans="13:67" x14ac:dyDescent="0.25">
      <c r="M318" s="66">
        <v>100</v>
      </c>
      <c r="N318" s="36">
        <f t="shared" si="315"/>
        <v>10000</v>
      </c>
      <c r="O318" s="91" t="str">
        <f t="shared" si="263"/>
        <v>13,7404580152672</v>
      </c>
      <c r="P318" s="67" t="str">
        <f t="shared" si="264"/>
        <v>1+67,8584013175396i</v>
      </c>
      <c r="Q318" s="67">
        <f t="shared" si="275"/>
        <v>67.865769201949377</v>
      </c>
      <c r="R318" s="67">
        <f t="shared" si="276"/>
        <v>1.5560608246139414</v>
      </c>
      <c r="S318" s="67" t="str">
        <f t="shared" si="265"/>
        <v>1+1,88495559215388i</v>
      </c>
      <c r="T318" s="67">
        <f t="shared" si="277"/>
        <v>2.1337894892402542</v>
      </c>
      <c r="U318" s="67">
        <f t="shared" si="278"/>
        <v>1.0830346193361864</v>
      </c>
      <c r="V318" t="str">
        <f t="shared" si="266"/>
        <v>1-0,392699081698724i</v>
      </c>
      <c r="W318" s="67">
        <f t="shared" si="279"/>
        <v>1.0743428543844935</v>
      </c>
      <c r="X318" s="67">
        <f t="shared" si="280"/>
        <v>-0.37419668052268479</v>
      </c>
      <c r="Y318" t="str">
        <f t="shared" si="267"/>
        <v>0,9936+0,681397856977084i</v>
      </c>
      <c r="Z318" s="67">
        <f t="shared" si="281"/>
        <v>1.204800398195885</v>
      </c>
      <c r="AA318" s="67">
        <f t="shared" si="282"/>
        <v>0.60112313874358425</v>
      </c>
      <c r="AB318" s="92" t="str">
        <f t="shared" si="283"/>
        <v>0,0470547871686232-0,382354064115215i</v>
      </c>
      <c r="AC318" s="37">
        <f t="shared" si="284"/>
        <v>-8.2854039525910217</v>
      </c>
      <c r="AD318" s="60">
        <f t="shared" si="285"/>
        <v>-82.984114480923765</v>
      </c>
      <c r="AE318" t="str">
        <f t="shared" si="286"/>
        <v>21,0353732052265</v>
      </c>
      <c r="AF318" t="str">
        <f t="shared" si="268"/>
        <v>1+33,9292006587698i</v>
      </c>
      <c r="AG318">
        <f t="shared" si="287"/>
        <v>33.943934028675358</v>
      </c>
      <c r="AH318">
        <f t="shared" si="288"/>
        <v>1.5413317188426929</v>
      </c>
      <c r="AI318" t="str">
        <f t="shared" si="269"/>
        <v>1+1,88495559215388i</v>
      </c>
      <c r="AJ318">
        <f t="shared" si="289"/>
        <v>2.1337894892402542</v>
      </c>
      <c r="AK318">
        <f t="shared" si="290"/>
        <v>1.0830346193361864</v>
      </c>
      <c r="AL318" t="str">
        <f t="shared" si="270"/>
        <v>1-0,128254983016186i</v>
      </c>
      <c r="AM318">
        <f t="shared" si="291"/>
        <v>1.0081911230855398</v>
      </c>
      <c r="AN318">
        <f t="shared" si="292"/>
        <v>-0.12755860652748</v>
      </c>
      <c r="AO318" s="58" t="str">
        <f t="shared" si="293"/>
        <v>1,11084179717371-0,737121313395177i</v>
      </c>
      <c r="AP318">
        <f t="shared" si="294"/>
        <v>2.4976497532028343</v>
      </c>
      <c r="AQ318" s="60">
        <f t="shared" si="295"/>
        <v>-33.56705935940446</v>
      </c>
      <c r="AR318" t="str">
        <f t="shared" si="271"/>
        <v>-1,05811623246493</v>
      </c>
      <c r="AS318" t="str">
        <f t="shared" si="272"/>
        <v>1+1,85781223162686i</v>
      </c>
      <c r="AT318">
        <f t="shared" si="296"/>
        <v>2.1098498259313088</v>
      </c>
      <c r="AU318">
        <f t="shared" si="297"/>
        <v>1.0770053715785592</v>
      </c>
      <c r="AV318" t="str">
        <f t="shared" si="273"/>
        <v>1+1,85781223162686i</v>
      </c>
      <c r="AW318">
        <f t="shared" si="298"/>
        <v>2.1098498259313088</v>
      </c>
      <c r="AX318">
        <f t="shared" si="299"/>
        <v>1.0770053715785592</v>
      </c>
      <c r="AY318" t="str">
        <f t="shared" si="274"/>
        <v>1-0,0137013552937238i</v>
      </c>
      <c r="AZ318">
        <f t="shared" si="300"/>
        <v>1.0000938591636712</v>
      </c>
      <c r="BA318">
        <f t="shared" si="301"/>
        <v>-1.3700498018215145E-2</v>
      </c>
      <c r="BB318" s="58" t="str">
        <f t="shared" si="302"/>
        <v>-0,231650044730956+0,444859913001138i</v>
      </c>
      <c r="BC318">
        <f t="shared" si="303"/>
        <v>-5.9935481367988785</v>
      </c>
      <c r="BD318" s="60">
        <f t="shared" si="304"/>
        <v>117.50715698195847</v>
      </c>
      <c r="BE318" s="58" t="str">
        <f t="shared" si="305"/>
        <v>0,159193752145509+0,109505124581473i</v>
      </c>
      <c r="BF318" s="37">
        <f t="shared" si="306"/>
        <v>-14.2789520893899</v>
      </c>
      <c r="BG318" s="60">
        <f t="shared" si="307"/>
        <v>34.523042501034666</v>
      </c>
      <c r="BH318" s="58" t="str">
        <f t="shared" si="308"/>
        <v>0,0705891713439575+0,664923170468858i</v>
      </c>
      <c r="BI318" s="37">
        <f t="shared" si="309"/>
        <v>-3.495898383596046</v>
      </c>
      <c r="BJ318" s="60">
        <f t="shared" si="310"/>
        <v>83.940097622554035</v>
      </c>
      <c r="BK318">
        <f t="shared" si="311"/>
        <v>-14.2789520893899</v>
      </c>
      <c r="BL318" s="60">
        <f t="shared" si="312"/>
        <v>34.523042501034666</v>
      </c>
      <c r="BN318">
        <f t="shared" si="313"/>
        <v>0</v>
      </c>
      <c r="BO318">
        <f t="shared" si="314"/>
        <v>0</v>
      </c>
    </row>
    <row r="319" spans="13:67" x14ac:dyDescent="0.25">
      <c r="M319" s="66">
        <v>1</v>
      </c>
      <c r="N319" s="36">
        <f>10^(4+(M319/100))</f>
        <v>10232.929922807549</v>
      </c>
      <c r="O319" s="91" t="str">
        <f t="shared" si="263"/>
        <v>13,7404580152672</v>
      </c>
      <c r="P319" s="67" t="str">
        <f t="shared" si="264"/>
        <v>1+69,4390265356133i</v>
      </c>
      <c r="Q319" s="67">
        <f t="shared" si="275"/>
        <v>69.446226724089257</v>
      </c>
      <c r="R319" s="67">
        <f t="shared" si="276"/>
        <v>1.5563961986867967</v>
      </c>
      <c r="S319" s="67" t="str">
        <f t="shared" si="265"/>
        <v>1+1,92886184821148i</v>
      </c>
      <c r="T319" s="67">
        <f t="shared" si="277"/>
        <v>2.1726730148565401</v>
      </c>
      <c r="U319" s="67">
        <f t="shared" si="278"/>
        <v>1.0925054256807478</v>
      </c>
      <c r="V319" t="str">
        <f t="shared" si="266"/>
        <v>1-0,401846218377392i</v>
      </c>
      <c r="W319" s="67">
        <f t="shared" si="279"/>
        <v>1.077719992959308</v>
      </c>
      <c r="X319" s="67">
        <f t="shared" si="280"/>
        <v>-0.38209693074750217</v>
      </c>
      <c r="Y319" t="str">
        <f t="shared" si="267"/>
        <v>0,993298377292474+0,697269651999773i</v>
      </c>
      <c r="Z319" s="67">
        <f t="shared" si="281"/>
        <v>1.2136006896552698</v>
      </c>
      <c r="AA319" s="67">
        <f t="shared" si="282"/>
        <v>0.61204957973956031</v>
      </c>
      <c r="AB319" s="92" t="str">
        <f t="shared" si="283"/>
        <v>0,0429544071647728-0,379323928422734i</v>
      </c>
      <c r="AC319" s="37">
        <f t="shared" si="284"/>
        <v>-8.3644589807144225</v>
      </c>
      <c r="AD319" s="60">
        <f t="shared" si="285"/>
        <v>-83.539382716874783</v>
      </c>
      <c r="AE319" t="str">
        <f t="shared" si="286"/>
        <v>21,0353732052265</v>
      </c>
      <c r="AF319" t="str">
        <f t="shared" si="268"/>
        <v>1+34,7195132678067i</v>
      </c>
      <c r="AG319">
        <f t="shared" si="287"/>
        <v>34.733911405907129</v>
      </c>
      <c r="AH319">
        <f t="shared" si="288"/>
        <v>1.542002040230495</v>
      </c>
      <c r="AI319" t="str">
        <f t="shared" si="269"/>
        <v>1+1,92886184821148i</v>
      </c>
      <c r="AJ319">
        <f t="shared" si="289"/>
        <v>2.1726730148565401</v>
      </c>
      <c r="AK319">
        <f t="shared" si="290"/>
        <v>1.0925054256807478</v>
      </c>
      <c r="AL319" t="str">
        <f t="shared" si="270"/>
        <v>1-0,131242425345551i</v>
      </c>
      <c r="AM319">
        <f t="shared" si="291"/>
        <v>1.0085755173563269</v>
      </c>
      <c r="AN319">
        <f t="shared" si="292"/>
        <v>-0.13049658672417391</v>
      </c>
      <c r="AO319" s="58" t="str">
        <f t="shared" si="293"/>
        <v>1,1100634653426-0,727267772121199i</v>
      </c>
      <c r="AP319">
        <f t="shared" si="294"/>
        <v>2.4579864278595598</v>
      </c>
      <c r="AQ319" s="60">
        <f t="shared" si="295"/>
        <v>-33.231162579277367</v>
      </c>
      <c r="AR319" t="str">
        <f t="shared" si="271"/>
        <v>-1,05811623246493</v>
      </c>
      <c r="AS319" t="str">
        <f t="shared" si="272"/>
        <v>1+1,90108623759724i</v>
      </c>
      <c r="AT319">
        <f t="shared" si="296"/>
        <v>2.1480523463783721</v>
      </c>
      <c r="AU319">
        <f t="shared" si="297"/>
        <v>1.0865539186899649</v>
      </c>
      <c r="AV319" t="str">
        <f t="shared" si="273"/>
        <v>1+1,90108623759724i</v>
      </c>
      <c r="AW319">
        <f t="shared" si="298"/>
        <v>2.1480523463783721</v>
      </c>
      <c r="AX319">
        <f t="shared" si="299"/>
        <v>1.0865539186899649</v>
      </c>
      <c r="AY319" t="str">
        <f t="shared" si="274"/>
        <v>1-0,0133894743705668i</v>
      </c>
      <c r="AZ319">
        <f t="shared" si="300"/>
        <v>1.0000896349947439</v>
      </c>
      <c r="BA319">
        <f t="shared" si="301"/>
        <v>-1.3388674310456126E-2</v>
      </c>
      <c r="BB319" s="58" t="str">
        <f t="shared" si="302"/>
        <v>-0,223483650094275+0,439029311697894i</v>
      </c>
      <c r="BC319">
        <f t="shared" si="303"/>
        <v>-6.1494511485689731</v>
      </c>
      <c r="BD319" s="60">
        <f t="shared" si="304"/>
        <v>116.97793171439979</v>
      </c>
      <c r="BE319" s="58" t="str">
        <f t="shared" si="305"/>
        <v>0,156934715505155+0,103630939903953i</v>
      </c>
      <c r="BF319" s="37">
        <f t="shared" si="306"/>
        <v>-14.513910129283405</v>
      </c>
      <c r="BG319" s="60">
        <f t="shared" si="307"/>
        <v>33.438548997524911</v>
      </c>
      <c r="BH319" s="58" t="str">
        <f t="shared" si="308"/>
        <v>0,0712108343433668+0,649882855439918i</v>
      </c>
      <c r="BI319" s="37">
        <f t="shared" si="309"/>
        <v>-3.6914647207094049</v>
      </c>
      <c r="BJ319" s="60">
        <f t="shared" si="310"/>
        <v>83.746769135122435</v>
      </c>
      <c r="BK319">
        <f t="shared" si="311"/>
        <v>-14.513910129283405</v>
      </c>
      <c r="BL319" s="60">
        <f t="shared" si="312"/>
        <v>33.438548997524911</v>
      </c>
      <c r="BN319">
        <f t="shared" si="313"/>
        <v>0</v>
      </c>
      <c r="BO319">
        <f t="shared" si="314"/>
        <v>0</v>
      </c>
    </row>
    <row r="320" spans="13:67" x14ac:dyDescent="0.25">
      <c r="M320" s="66">
        <v>2</v>
      </c>
      <c r="N320" s="36">
        <f t="shared" ref="N320:N383" si="316">10^(4+(M320/100))</f>
        <v>10471.285480509003</v>
      </c>
      <c r="O320" s="91" t="str">
        <f t="shared" si="263"/>
        <v>13,7404580152672</v>
      </c>
      <c r="P320" s="67" t="str">
        <f t="shared" si="264"/>
        <v>1+71,0564692446905i</v>
      </c>
      <c r="Q320" s="67">
        <f t="shared" si="275"/>
        <v>71.063505553284159</v>
      </c>
      <c r="R320" s="67">
        <f t="shared" si="276"/>
        <v>1.5567239418440995</v>
      </c>
      <c r="S320" s="67" t="str">
        <f t="shared" si="265"/>
        <v>1+1,97379081235251i</v>
      </c>
      <c r="T320" s="67">
        <f t="shared" si="277"/>
        <v>2.2126568127315136</v>
      </c>
      <c r="U320" s="67">
        <f t="shared" si="278"/>
        <v>1.1018513938735395</v>
      </c>
      <c r="V320" t="str">
        <f t="shared" si="266"/>
        <v>1-0,411206419240107i</v>
      </c>
      <c r="W320" s="67">
        <f t="shared" si="279"/>
        <v>1.0812449857568223</v>
      </c>
      <c r="X320" s="67">
        <f t="shared" si="280"/>
        <v>-0.39012959829246485</v>
      </c>
      <c r="Y320" t="str">
        <f t="shared" si="267"/>
        <v>0,992982539544684+0,713511148621409i</v>
      </c>
      <c r="Z320" s="67">
        <f t="shared" si="281"/>
        <v>1.2227479229373699</v>
      </c>
      <c r="AA320" s="67">
        <f t="shared" si="282"/>
        <v>0.62306979795379425</v>
      </c>
      <c r="AB320" s="92" t="str">
        <f t="shared" si="283"/>
        <v>0,0387940645369837-0,376322660265085i</v>
      </c>
      <c r="AC320" s="37">
        <f t="shared" si="284"/>
        <v>-8.4428837197251632</v>
      </c>
      <c r="AD320" s="60">
        <f t="shared" si="285"/>
        <v>-84.114326425188906</v>
      </c>
      <c r="AE320" t="str">
        <f t="shared" si="286"/>
        <v>21,0353732052265</v>
      </c>
      <c r="AF320" t="str">
        <f t="shared" si="268"/>
        <v>1+35,5282346223453i</v>
      </c>
      <c r="AG320">
        <f t="shared" si="287"/>
        <v>35.542305150066099</v>
      </c>
      <c r="AH320">
        <f t="shared" si="288"/>
        <v>1.5426571282524328</v>
      </c>
      <c r="AI320" t="str">
        <f t="shared" si="269"/>
        <v>1+1,97379081235251i</v>
      </c>
      <c r="AJ320">
        <f t="shared" si="289"/>
        <v>2.2126568127315136</v>
      </c>
      <c r="AK320">
        <f t="shared" si="290"/>
        <v>1.1018513938735395</v>
      </c>
      <c r="AL320" t="str">
        <f t="shared" si="270"/>
        <v>1-0,134299454146032i</v>
      </c>
      <c r="AM320">
        <f t="shared" si="291"/>
        <v>1.0089778706116017</v>
      </c>
      <c r="AN320">
        <f t="shared" si="292"/>
        <v>-0.13350065722463433</v>
      </c>
      <c r="AO320" s="58" t="str">
        <f t="shared" si="293"/>
        <v>1,10932010744653-0,717797820983463i</v>
      </c>
      <c r="AP320">
        <f t="shared" si="294"/>
        <v>2.4200066162555527</v>
      </c>
      <c r="AQ320" s="60">
        <f t="shared" si="295"/>
        <v>-32.90533238626977</v>
      </c>
      <c r="AR320" t="str">
        <f t="shared" si="271"/>
        <v>-1,05811623246493</v>
      </c>
      <c r="AS320" t="str">
        <f t="shared" si="272"/>
        <v>1+1,94536822465464i</v>
      </c>
      <c r="AT320">
        <f t="shared" si="296"/>
        <v>2.1873402866257332</v>
      </c>
      <c r="AU320">
        <f t="shared" si="297"/>
        <v>1.0959787224817121</v>
      </c>
      <c r="AV320" t="str">
        <f t="shared" si="273"/>
        <v>1+1,94536822465464i</v>
      </c>
      <c r="AW320">
        <f t="shared" si="298"/>
        <v>2.1873402866257332</v>
      </c>
      <c r="AX320">
        <f t="shared" si="299"/>
        <v>1.0959787224817121</v>
      </c>
      <c r="AY320" t="str">
        <f t="shared" si="274"/>
        <v>1-0,0130846927239517i</v>
      </c>
      <c r="AZ320">
        <f t="shared" si="300"/>
        <v>1.0000856009280807</v>
      </c>
      <c r="BA320">
        <f t="shared" si="301"/>
        <v>-1.3083946060798227E-2</v>
      </c>
      <c r="BB320" s="58" t="str">
        <f t="shared" si="302"/>
        <v>-0,215527540661041+0,433125554907978i</v>
      </c>
      <c r="BC320">
        <f t="shared" si="303"/>
        <v>-6.3069160114510261</v>
      </c>
      <c r="BD320" s="60">
        <f t="shared" si="304"/>
        <v>116.4553898769977</v>
      </c>
      <c r="BE320" s="58" t="str">
        <f t="shared" si="305"/>
        <v>0,15463377172986+0,0979105981916712i</v>
      </c>
      <c r="BF320" s="37">
        <f t="shared" si="306"/>
        <v>-14.749799731176175</v>
      </c>
      <c r="BG320" s="60">
        <f t="shared" si="307"/>
        <v>32.341063451808715</v>
      </c>
      <c r="BH320" s="58" t="str">
        <f t="shared" si="308"/>
        <v>0,0718075449614075+0,635180086156776i</v>
      </c>
      <c r="BI320" s="37">
        <f t="shared" si="309"/>
        <v>-3.8869093951954747</v>
      </c>
      <c r="BJ320" s="60">
        <f t="shared" si="310"/>
        <v>83.550057490727923</v>
      </c>
      <c r="BK320">
        <f t="shared" si="311"/>
        <v>-14.749799731176175</v>
      </c>
      <c r="BL320" s="60">
        <f t="shared" si="312"/>
        <v>32.341063451808715</v>
      </c>
      <c r="BN320">
        <f t="shared" si="313"/>
        <v>0</v>
      </c>
      <c r="BO320">
        <f t="shared" si="314"/>
        <v>0</v>
      </c>
    </row>
    <row r="321" spans="13:67" x14ac:dyDescent="0.25">
      <c r="M321" s="66">
        <v>3</v>
      </c>
      <c r="N321" s="36">
        <f t="shared" si="316"/>
        <v>10715.193052376071</v>
      </c>
      <c r="O321" s="91" t="str">
        <f t="shared" si="263"/>
        <v>13,7404580152672</v>
      </c>
      <c r="P321" s="67" t="str">
        <f t="shared" si="264"/>
        <v>1+72,7115870343047i</v>
      </c>
      <c r="Q321" s="67">
        <f t="shared" si="275"/>
        <v>72.718463192281973</v>
      </c>
      <c r="R321" s="67">
        <f t="shared" si="276"/>
        <v>1.5570442275778105</v>
      </c>
      <c r="S321" s="67" t="str">
        <f t="shared" si="265"/>
        <v>1+2,01976630650847i</v>
      </c>
      <c r="T321" s="67">
        <f t="shared" si="277"/>
        <v>2.2537648353159798</v>
      </c>
      <c r="U321" s="67">
        <f t="shared" si="278"/>
        <v>1.1110709476247769</v>
      </c>
      <c r="V321" t="str">
        <f t="shared" si="266"/>
        <v>1-0,420784647189263i</v>
      </c>
      <c r="W321" s="67">
        <f t="shared" si="279"/>
        <v>1.0849238311099045</v>
      </c>
      <c r="X321" s="67">
        <f t="shared" si="280"/>
        <v>-0.3982947947580624</v>
      </c>
      <c r="Y321" t="str">
        <f t="shared" si="267"/>
        <v>0,99265181682242+0,730130958298479i</v>
      </c>
      <c r="Z321" s="67">
        <f t="shared" si="281"/>
        <v>1.2322535638847658</v>
      </c>
      <c r="AA321" s="67">
        <f t="shared" si="282"/>
        <v>0.63417957779032208</v>
      </c>
      <c r="AB321" s="92" t="str">
        <f t="shared" si="283"/>
        <v>0,0345762169280783-0,373344494689612i</v>
      </c>
      <c r="AC321" s="37">
        <f t="shared" si="284"/>
        <v>-8.5207143631845987</v>
      </c>
      <c r="AD321" s="60">
        <f t="shared" si="285"/>
        <v>-84.708810719355455</v>
      </c>
      <c r="AE321" t="str">
        <f t="shared" si="286"/>
        <v>21,0353732052265</v>
      </c>
      <c r="AF321" t="str">
        <f t="shared" si="268"/>
        <v>1+36,3557935171524i</v>
      </c>
      <c r="AG321">
        <f t="shared" si="287"/>
        <v>36.369543883059904</v>
      </c>
      <c r="AH321">
        <f t="shared" si="288"/>
        <v>1.5432973279945619</v>
      </c>
      <c r="AI321" t="str">
        <f t="shared" si="269"/>
        <v>1+2,01976630650847i</v>
      </c>
      <c r="AJ321">
        <f t="shared" si="289"/>
        <v>2.2537648353159798</v>
      </c>
      <c r="AK321">
        <f t="shared" si="290"/>
        <v>1.1110709476247769</v>
      </c>
      <c r="AL321" t="str">
        <f t="shared" si="270"/>
        <v>1-0,137427690294765i</v>
      </c>
      <c r="AM321">
        <f t="shared" si="291"/>
        <v>1.009399014295018</v>
      </c>
      <c r="AN321">
        <f t="shared" si="292"/>
        <v>-0.1365721938315804</v>
      </c>
      <c r="AO321" s="58" t="str">
        <f t="shared" si="293"/>
        <v>1,1086101543883-0,708706573294638i</v>
      </c>
      <c r="AP321">
        <f t="shared" si="294"/>
        <v>2.3836768364638723</v>
      </c>
      <c r="AQ321" s="60">
        <f t="shared" si="295"/>
        <v>-32.589757694797036</v>
      </c>
      <c r="AR321" t="str">
        <f t="shared" si="271"/>
        <v>-1,05811623246493</v>
      </c>
      <c r="AS321" t="str">
        <f t="shared" si="272"/>
        <v>1+1,99068167169474i</v>
      </c>
      <c r="AT321">
        <f t="shared" si="296"/>
        <v>2.2277373090248691</v>
      </c>
      <c r="AU321">
        <f t="shared" si="297"/>
        <v>1.1052780818268346</v>
      </c>
      <c r="AV321" t="str">
        <f t="shared" si="273"/>
        <v>1+1,99068167169474i</v>
      </c>
      <c r="AW321">
        <f t="shared" si="298"/>
        <v>2.2277373090248691</v>
      </c>
      <c r="AX321">
        <f t="shared" si="299"/>
        <v>1.1052780818268346</v>
      </c>
      <c r="AY321" t="str">
        <f t="shared" si="274"/>
        <v>1-0,0127868487546153i</v>
      </c>
      <c r="AZ321">
        <f t="shared" si="300"/>
        <v>1.0000817484091356</v>
      </c>
      <c r="BA321">
        <f t="shared" si="301"/>
        <v>-1.2786151924794801E-2</v>
      </c>
      <c r="BB321" s="58" t="str">
        <f t="shared" si="302"/>
        <v>-0,207781807836411+0,427157408800875i</v>
      </c>
      <c r="BC321">
        <f t="shared" si="303"/>
        <v>-6.4659019983122299</v>
      </c>
      <c r="BD321" s="60">
        <f t="shared" si="304"/>
        <v>115.93963818150327</v>
      </c>
      <c r="BE321" s="58" t="str">
        <f t="shared" si="305"/>
        <v>0,152292558080227+0,0923436812815138i</v>
      </c>
      <c r="BF321" s="37">
        <f t="shared" si="306"/>
        <v>-14.986616361496816</v>
      </c>
      <c r="BG321" s="60">
        <f t="shared" si="307"/>
        <v>31.230827462147769</v>
      </c>
      <c r="BH321" s="58" t="str">
        <f t="shared" si="308"/>
        <v>0,0723802413840813+0,620807373943552i</v>
      </c>
      <c r="BI321" s="37">
        <f t="shared" si="309"/>
        <v>-4.0822251618483598</v>
      </c>
      <c r="BJ321" s="60">
        <f t="shared" si="310"/>
        <v>83.349880486706226</v>
      </c>
      <c r="BK321">
        <f t="shared" si="311"/>
        <v>-14.986616361496816</v>
      </c>
      <c r="BL321" s="60">
        <f t="shared" si="312"/>
        <v>31.230827462147769</v>
      </c>
      <c r="BN321">
        <f t="shared" si="313"/>
        <v>0</v>
      </c>
      <c r="BO321">
        <f t="shared" si="314"/>
        <v>0</v>
      </c>
    </row>
    <row r="322" spans="13:67" x14ac:dyDescent="0.25">
      <c r="M322" s="66">
        <v>4</v>
      </c>
      <c r="N322" s="36">
        <f t="shared" si="316"/>
        <v>10964.781961431856</v>
      </c>
      <c r="O322" s="91" t="str">
        <f t="shared" si="263"/>
        <v>13,7404580152672</v>
      </c>
      <c r="P322" s="67" t="str">
        <f t="shared" si="264"/>
        <v>1+74,4052574698161i</v>
      </c>
      <c r="Q322" s="67">
        <f t="shared" si="275"/>
        <v>74.411977121627572</v>
      </c>
      <c r="R322" s="67">
        <f t="shared" si="276"/>
        <v>1.5573572254446677</v>
      </c>
      <c r="S322" s="67" t="str">
        <f t="shared" si="265"/>
        <v>1+2,06681270749489i</v>
      </c>
      <c r="T322" s="67">
        <f t="shared" si="277"/>
        <v>2.2960215085800826</v>
      </c>
      <c r="U322" s="67">
        <f t="shared" si="278"/>
        <v>1.1201627050186227</v>
      </c>
      <c r="V322" t="str">
        <f t="shared" si="266"/>
        <v>1-0,430585980728102i</v>
      </c>
      <c r="W322" s="67">
        <f t="shared" si="279"/>
        <v>1.0887627320952815</v>
      </c>
      <c r="X322" s="67">
        <f t="shared" si="280"/>
        <v>-0.40659249337264425</v>
      </c>
      <c r="Y322" t="str">
        <f t="shared" si="267"/>
        <v>0,992305507618449+0,747137893074065i</v>
      </c>
      <c r="Z322" s="67">
        <f t="shared" si="281"/>
        <v>1.2421293216557849</v>
      </c>
      <c r="AA322" s="67">
        <f t="shared" si="282"/>
        <v>0.64537451376712784</v>
      </c>
      <c r="AB322" s="92" t="str">
        <f t="shared" si="283"/>
        <v>0,0303035563043552-0,370383830605586i</v>
      </c>
      <c r="AC322" s="37">
        <f t="shared" si="284"/>
        <v>-8.5979849884891877</v>
      </c>
      <c r="AD322" s="60">
        <f t="shared" si="285"/>
        <v>-85.322670542775967</v>
      </c>
      <c r="AE322" t="str">
        <f t="shared" si="286"/>
        <v>21,0353732052265</v>
      </c>
      <c r="AF322" t="str">
        <f t="shared" si="268"/>
        <v>1+37,2026287349081i</v>
      </c>
      <c r="AG322">
        <f t="shared" si="287"/>
        <v>37.216066218602556</v>
      </c>
      <c r="AH322">
        <f t="shared" si="288"/>
        <v>1.5439229767989413</v>
      </c>
      <c r="AI322" t="str">
        <f t="shared" si="269"/>
        <v>1+2,06681270749489i</v>
      </c>
      <c r="AJ322">
        <f t="shared" si="289"/>
        <v>2.2960215085800826</v>
      </c>
      <c r="AK322">
        <f t="shared" si="290"/>
        <v>1.1201627050186227</v>
      </c>
      <c r="AL322" t="str">
        <f t="shared" si="270"/>
        <v>1-0,140628792423963i</v>
      </c>
      <c r="AM322">
        <f t="shared" si="291"/>
        <v>1.0098398176238754</v>
      </c>
      <c r="AN322">
        <f t="shared" si="292"/>
        <v>-0.13971259316884493</v>
      </c>
      <c r="AO322" s="58" t="str">
        <f t="shared" si="293"/>
        <v>1,10793210725344-0,69998933421285i</v>
      </c>
      <c r="AP322">
        <f t="shared" si="294"/>
        <v>2.3489639735894916</v>
      </c>
      <c r="AQ322" s="60">
        <f t="shared" si="295"/>
        <v>-32.28461703173204</v>
      </c>
      <c r="AR322" t="str">
        <f t="shared" si="271"/>
        <v>-1,05811623246493</v>
      </c>
      <c r="AS322" t="str">
        <f t="shared" si="272"/>
        <v>1+2,03705060450697i</v>
      </c>
      <c r="AT322">
        <f t="shared" si="296"/>
        <v>2.2692675393884723</v>
      </c>
      <c r="AU322">
        <f t="shared" si="297"/>
        <v>1.1144504929294494</v>
      </c>
      <c r="AV322" t="str">
        <f t="shared" si="273"/>
        <v>1+2,03705060450697i</v>
      </c>
      <c r="AW322">
        <f t="shared" si="298"/>
        <v>2.2692675393884723</v>
      </c>
      <c r="AX322">
        <f t="shared" si="299"/>
        <v>1.1144504929294494</v>
      </c>
      <c r="AY322" t="str">
        <f t="shared" si="274"/>
        <v>1-0,0124957845417425i</v>
      </c>
      <c r="AZ322">
        <f t="shared" si="300"/>
        <v>1.0000780692682516</v>
      </c>
      <c r="BA322">
        <f t="shared" si="301"/>
        <v>-1.2495134219444598E-2</v>
      </c>
      <c r="BB322" s="58" t="str">
        <f t="shared" si="302"/>
        <v>-0,200246104120113+0,421133439909044i</v>
      </c>
      <c r="BC322">
        <f t="shared" si="303"/>
        <v>-6.6263684039015134</v>
      </c>
      <c r="BD322" s="60">
        <f t="shared" si="304"/>
        <v>115.4307718236447</v>
      </c>
      <c r="BE322" s="58" t="str">
        <f t="shared" si="305"/>
        <v>0,149912847578687+0,086929760015783i</v>
      </c>
      <c r="BF322" s="37">
        <f t="shared" si="306"/>
        <v>-15.224353392390721</v>
      </c>
      <c r="BG322" s="60">
        <f t="shared" si="307"/>
        <v>30.108101280868805</v>
      </c>
      <c r="BH322" s="58" t="str">
        <f t="shared" si="308"/>
        <v>0,0729298281096104+0,606757396615072i</v>
      </c>
      <c r="BI322" s="37">
        <f t="shared" si="309"/>
        <v>-4.2774044303120222</v>
      </c>
      <c r="BJ322" s="60">
        <f t="shared" si="310"/>
        <v>83.14615479191265</v>
      </c>
      <c r="BK322">
        <f t="shared" si="311"/>
        <v>-15.224353392390721</v>
      </c>
      <c r="BL322" s="60">
        <f t="shared" si="312"/>
        <v>30.108101280868805</v>
      </c>
      <c r="BN322">
        <f t="shared" si="313"/>
        <v>0</v>
      </c>
      <c r="BO322">
        <f t="shared" si="314"/>
        <v>0</v>
      </c>
    </row>
    <row r="323" spans="13:67" x14ac:dyDescent="0.25">
      <c r="M323" s="66">
        <v>5</v>
      </c>
      <c r="N323" s="36">
        <f t="shared" si="316"/>
        <v>11220.184543019639</v>
      </c>
      <c r="O323" s="91" t="str">
        <f t="shared" si="263"/>
        <v>13,7404580152672</v>
      </c>
      <c r="P323" s="67" t="str">
        <f t="shared" si="264"/>
        <v>1+76,1383785577081i</v>
      </c>
      <c r="Q323" s="67">
        <f t="shared" si="275"/>
        <v>76.144945264914753</v>
      </c>
      <c r="R323" s="67">
        <f t="shared" si="276"/>
        <v>1.5576631011548328</v>
      </c>
      <c r="S323" s="67" t="str">
        <f t="shared" si="265"/>
        <v>1+2,11495495993634i</v>
      </c>
      <c r="T323" s="67">
        <f t="shared" si="277"/>
        <v>2.3394517482861934</v>
      </c>
      <c r="U323" s="67">
        <f t="shared" si="278"/>
        <v>1.1291254734560194</v>
      </c>
      <c r="V323" t="str">
        <f t="shared" si="266"/>
        <v>1-0,440615616653403i</v>
      </c>
      <c r="W323" s="67">
        <f t="shared" si="279"/>
        <v>1.0927681005770888</v>
      </c>
      <c r="X323" s="67">
        <f t="shared" si="280"/>
        <v>-0.41502252214234453</v>
      </c>
      <c r="Y323" t="str">
        <f t="shared" si="267"/>
        <v>0,991942877364517+0,764540970250098i</v>
      </c>
      <c r="Z323" s="67">
        <f t="shared" si="281"/>
        <v>1.2523871474688482</v>
      </c>
      <c r="AA323" s="67">
        <f t="shared" si="282"/>
        <v>0.65665001752545438</v>
      </c>
      <c r="AB323" s="92" t="str">
        <f t="shared" si="283"/>
        <v>0,0259790032262026-0,367435246773686i</v>
      </c>
      <c r="AC323" s="37">
        <f t="shared" si="284"/>
        <v>-8.6747274074400185</v>
      </c>
      <c r="AD323" s="60">
        <f t="shared" si="285"/>
        <v>-85.955710972721732</v>
      </c>
      <c r="AE323" t="str">
        <f t="shared" si="286"/>
        <v>21,0353732052265</v>
      </c>
      <c r="AF323" t="str">
        <f t="shared" si="268"/>
        <v>1+38,0691892788541i</v>
      </c>
      <c r="AG323">
        <f t="shared" si="287"/>
        <v>38.082320994776822</v>
      </c>
      <c r="AH323">
        <f t="shared" si="288"/>
        <v>1.5445344044325136</v>
      </c>
      <c r="AI323" t="str">
        <f t="shared" si="269"/>
        <v>1+2,11495495993634i</v>
      </c>
      <c r="AJ323">
        <f t="shared" si="289"/>
        <v>2.3394517482861934</v>
      </c>
      <c r="AK323">
        <f t="shared" si="290"/>
        <v>1.1291254734560194</v>
      </c>
      <c r="AL323" t="str">
        <f t="shared" si="270"/>
        <v>1-0,143904457800346i</v>
      </c>
      <c r="AM323">
        <f t="shared" si="291"/>
        <v>1.010301189237552</v>
      </c>
      <c r="AN323">
        <f t="shared" si="292"/>
        <v>-0.14292327241995001</v>
      </c>
      <c r="AO323" s="58" t="str">
        <f t="shared" si="293"/>
        <v>1,10728453419-0,691641598847168i</v>
      </c>
      <c r="AP323">
        <f t="shared" si="294"/>
        <v>2.315835372363094</v>
      </c>
      <c r="AQ323" s="60">
        <f t="shared" si="295"/>
        <v>-31.990078820856091</v>
      </c>
      <c r="AR323" t="str">
        <f t="shared" si="271"/>
        <v>-1,05811623246493</v>
      </c>
      <c r="AS323" t="str">
        <f t="shared" si="272"/>
        <v>1+2,08449960851325i</v>
      </c>
      <c r="AT323">
        <f t="shared" si="296"/>
        <v>2.311955583027471</v>
      </c>
      <c r="AU323">
        <f t="shared" si="297"/>
        <v>1.1234946445458673</v>
      </c>
      <c r="AV323" t="str">
        <f t="shared" si="273"/>
        <v>1+2,08449960851325i</v>
      </c>
      <c r="AW323">
        <f t="shared" si="298"/>
        <v>2.311955583027471</v>
      </c>
      <c r="AX323">
        <f t="shared" si="299"/>
        <v>1.1234946445458673</v>
      </c>
      <c r="AY323" t="str">
        <f t="shared" si="274"/>
        <v>1-0,0122113457592351i</v>
      </c>
      <c r="AZ323">
        <f t="shared" si="300"/>
        <v>1.0000745557033495</v>
      </c>
      <c r="BA323">
        <f t="shared" si="301"/>
        <v>-1.2210738840594875E-2</v>
      </c>
      <c r="BB323" s="58" t="str">
        <f t="shared" si="302"/>
        <v>-0,192919667467138+0,415061994477843i</v>
      </c>
      <c r="BC323">
        <f t="shared" si="303"/>
        <v>-6.7882746277759045</v>
      </c>
      <c r="BD323" s="60">
        <f t="shared" si="304"/>
        <v>114.92887476166868</v>
      </c>
      <c r="BE323" s="58" t="str">
        <f t="shared" si="305"/>
        <v>0,147496545703818+0,0816683825168993i</v>
      </c>
      <c r="BF323" s="37">
        <f t="shared" si="306"/>
        <v>-15.463002035215915</v>
      </c>
      <c r="BG323" s="60">
        <f t="shared" si="307"/>
        <v>28.973163788946938</v>
      </c>
      <c r="BH323" s="58" t="str">
        <f t="shared" si="308"/>
        <v>0,0734571773539101+0,593022994471406i</v>
      </c>
      <c r="BI323" s="37">
        <f t="shared" si="309"/>
        <v>-4.4724392554128105</v>
      </c>
      <c r="BJ323" s="60">
        <f t="shared" si="310"/>
        <v>82.938795940812597</v>
      </c>
      <c r="BK323">
        <f t="shared" si="311"/>
        <v>-15.463002035215915</v>
      </c>
      <c r="BL323" s="60">
        <f t="shared" si="312"/>
        <v>28.973163788946938</v>
      </c>
      <c r="BN323">
        <f t="shared" si="313"/>
        <v>0</v>
      </c>
      <c r="BO323">
        <f t="shared" si="314"/>
        <v>0</v>
      </c>
    </row>
    <row r="324" spans="13:67" x14ac:dyDescent="0.25">
      <c r="M324" s="66">
        <v>6</v>
      </c>
      <c r="N324" s="36">
        <f t="shared" si="316"/>
        <v>11481.536214968832</v>
      </c>
      <c r="O324" s="91" t="str">
        <f t="shared" si="263"/>
        <v>13,7404580152672</v>
      </c>
      <c r="P324" s="67" t="str">
        <f t="shared" si="264"/>
        <v>1+77,9118692217219i</v>
      </c>
      <c r="Q324" s="67">
        <f t="shared" si="275"/>
        <v>77.918286464877411</v>
      </c>
      <c r="R324" s="67">
        <f t="shared" si="276"/>
        <v>1.557962016658583</v>
      </c>
      <c r="S324" s="67" t="str">
        <f t="shared" si="265"/>
        <v>1+2,16421858949228i</v>
      </c>
      <c r="T324" s="67">
        <f t="shared" si="277"/>
        <v>2.3840809766247357</v>
      </c>
      <c r="U324" s="67">
        <f t="shared" si="278"/>
        <v>1.1379582442000997</v>
      </c>
      <c r="V324" t="str">
        <f t="shared" si="266"/>
        <v>1-0,450878872810891i</v>
      </c>
      <c r="W324" s="67">
        <f t="shared" si="279"/>
        <v>1.0969465611173679</v>
      </c>
      <c r="X324" s="67">
        <f t="shared" si="280"/>
        <v>-0.42358455706454706</v>
      </c>
      <c r="Y324" t="str">
        <f t="shared" si="267"/>
        <v>0,991563156873239+0,782349417168454i</v>
      </c>
      <c r="Z324" s="67">
        <f t="shared" si="281"/>
        <v>1.2630392332038793</v>
      </c>
      <c r="AA324" s="67">
        <f t="shared" si="282"/>
        <v>0.66800132582704663</v>
      </c>
      <c r="AB324" s="92" t="str">
        <f t="shared" si="283"/>
        <v>0,0216056995987515-0,364493517620519i</v>
      </c>
      <c r="AC324" s="37">
        <f t="shared" si="284"/>
        <v>-8.75097102929724</v>
      </c>
      <c r="AD324" s="60">
        <f t="shared" si="285"/>
        <v>-86.607707607194172</v>
      </c>
      <c r="AE324" t="str">
        <f t="shared" si="286"/>
        <v>21,0353732052265</v>
      </c>
      <c r="AF324" t="str">
        <f t="shared" si="268"/>
        <v>1+38,955934610861i</v>
      </c>
      <c r="AG324">
        <f t="shared" si="287"/>
        <v>38.968767512017592</v>
      </c>
      <c r="AH324">
        <f t="shared" si="288"/>
        <v>1.5451319332526285</v>
      </c>
      <c r="AI324" t="str">
        <f t="shared" si="269"/>
        <v>1+2,16421858949228i</v>
      </c>
      <c r="AJ324">
        <f t="shared" si="289"/>
        <v>2.3840809766247357</v>
      </c>
      <c r="AK324">
        <f t="shared" si="290"/>
        <v>1.1379582442000997</v>
      </c>
      <c r="AL324" t="str">
        <f t="shared" si="270"/>
        <v>1-0,147256423225056i</v>
      </c>
      <c r="AM324">
        <f t="shared" si="291"/>
        <v>1.0107840789115332</v>
      </c>
      <c r="AN324">
        <f t="shared" si="292"/>
        <v>-0.14620566901377663</v>
      </c>
      <c r="AO324" s="58" t="str">
        <f t="shared" si="293"/>
        <v>1,10666606742527-0,683659050424387i</v>
      </c>
      <c r="AP324">
        <f t="shared" si="294"/>
        <v>2.2842589252171894</v>
      </c>
      <c r="AQ324" s="60">
        <f t="shared" si="295"/>
        <v>-31.706301686858097</v>
      </c>
      <c r="AR324" t="str">
        <f t="shared" si="271"/>
        <v>-1,05811623246493</v>
      </c>
      <c r="AS324" t="str">
        <f t="shared" si="272"/>
        <v>1+2,13305384180359i</v>
      </c>
      <c r="AT324">
        <f t="shared" si="296"/>
        <v>2.3558265411598227</v>
      </c>
      <c r="AU324">
        <f t="shared" si="297"/>
        <v>1.1324094127740494</v>
      </c>
      <c r="AV324" t="str">
        <f t="shared" si="273"/>
        <v>1+2,13305384180359i</v>
      </c>
      <c r="AW324">
        <f t="shared" si="298"/>
        <v>2.3558265411598227</v>
      </c>
      <c r="AX324">
        <f t="shared" si="299"/>
        <v>1.1324094127740494</v>
      </c>
      <c r="AY324" t="str">
        <f t="shared" si="274"/>
        <v>1-0,0119333815938854i</v>
      </c>
      <c r="AZ324">
        <f t="shared" si="300"/>
        <v>1.0000712002633938</v>
      </c>
      <c r="BA324">
        <f t="shared" si="301"/>
        <v>-1.1932815182173619E-2</v>
      </c>
      <c r="BB324" s="58" t="str">
        <f t="shared" si="302"/>
        <v>-0,185801346280934+0,408951180269513i</v>
      </c>
      <c r="BC324">
        <f t="shared" si="303"/>
        <v>-6.9515802524306336</v>
      </c>
      <c r="BD324" s="60">
        <f t="shared" si="304"/>
        <v>114.4340200195109</v>
      </c>
      <c r="BE324" s="58" t="str">
        <f t="shared" si="305"/>
        <v>0,145045686158708+0,0765590626360237i</v>
      </c>
      <c r="BF324" s="37">
        <f t="shared" si="306"/>
        <v>-15.702551281727892</v>
      </c>
      <c r="BG324" s="60">
        <f t="shared" si="307"/>
        <v>27.826312412316771</v>
      </c>
      <c r="BH324" s="58" t="str">
        <f t="shared" si="308"/>
        <v>0,0739631303619455+0,579597166403781i</v>
      </c>
      <c r="BI324" s="37">
        <f t="shared" si="309"/>
        <v>-4.6673213272134406</v>
      </c>
      <c r="BJ324" s="60">
        <f t="shared" si="310"/>
        <v>82.727718332652813</v>
      </c>
      <c r="BK324">
        <f t="shared" si="311"/>
        <v>-15.702551281727892</v>
      </c>
      <c r="BL324" s="60">
        <f t="shared" si="312"/>
        <v>27.826312412316771</v>
      </c>
      <c r="BN324">
        <f t="shared" si="313"/>
        <v>0</v>
      </c>
      <c r="BO324">
        <f t="shared" si="314"/>
        <v>0</v>
      </c>
    </row>
    <row r="325" spans="13:67" x14ac:dyDescent="0.25">
      <c r="M325" s="66">
        <v>7</v>
      </c>
      <c r="N325" s="36">
        <f t="shared" si="316"/>
        <v>11748.975549395318</v>
      </c>
      <c r="O325" s="91" t="str">
        <f t="shared" si="263"/>
        <v>13,7404580152672</v>
      </c>
      <c r="P325" s="67" t="str">
        <f t="shared" si="264"/>
        <v>1+79,7266697900827i</v>
      </c>
      <c r="Q325" s="67">
        <f t="shared" si="275"/>
        <v>79.73294097057304</v>
      </c>
      <c r="R325" s="67">
        <f t="shared" si="276"/>
        <v>1.5582541302310864</v>
      </c>
      <c r="S325" s="67" t="str">
        <f t="shared" si="265"/>
        <v>1+2,21462971639119i</v>
      </c>
      <c r="T325" s="67">
        <f t="shared" si="277"/>
        <v>2.4299351392008228</v>
      </c>
      <c r="U325" s="67">
        <f t="shared" si="278"/>
        <v>1.1466601865777428</v>
      </c>
      <c r="V325" t="str">
        <f t="shared" si="266"/>
        <v>1-0,461381190914831i</v>
      </c>
      <c r="W325" s="67">
        <f t="shared" si="279"/>
        <v>1.1013049547377818</v>
      </c>
      <c r="X325" s="67">
        <f t="shared" si="280"/>
        <v>-0.43227811544468675</v>
      </c>
      <c r="Y325" t="str">
        <f t="shared" si="267"/>
        <v>0,991165540706542+0,800572676103413i</v>
      </c>
      <c r="Z325" s="67">
        <f t="shared" si="281"/>
        <v>1.2740980098907118</v>
      </c>
      <c r="AA325" s="67">
        <f t="shared" si="282"/>
        <v>0.67942350952335484</v>
      </c>
      <c r="AB325" s="92" t="str">
        <f t="shared" si="283"/>
        <v>0,017186999898234-0,361553628719942i</v>
      </c>
      <c r="AC325" s="37">
        <f t="shared" si="284"/>
        <v>-8.8267427372898428</v>
      </c>
      <c r="AD325" s="60">
        <f t="shared" si="285"/>
        <v>-87.278407032986294</v>
      </c>
      <c r="AE325" t="str">
        <f t="shared" si="286"/>
        <v>21,0353732052265</v>
      </c>
      <c r="AF325" t="str">
        <f t="shared" si="268"/>
        <v>1+39,8633348950414i</v>
      </c>
      <c r="AG325">
        <f t="shared" si="287"/>
        <v>39.875875776642516</v>
      </c>
      <c r="AH325">
        <f t="shared" si="288"/>
        <v>1.5457158783692617</v>
      </c>
      <c r="AI325" t="str">
        <f t="shared" si="269"/>
        <v>1+2,21462971639119i</v>
      </c>
      <c r="AJ325">
        <f t="shared" si="289"/>
        <v>2.4299351392008228</v>
      </c>
      <c r="AK325">
        <f t="shared" si="290"/>
        <v>1.1466601865777428</v>
      </c>
      <c r="AL325" t="str">
        <f t="shared" si="270"/>
        <v>1-0,150686465954529i</v>
      </c>
      <c r="AM325">
        <f t="shared" si="291"/>
        <v>1.0112894793390592</v>
      </c>
      <c r="AN325">
        <f t="shared" si="292"/>
        <v>-0.14956124025348966</v>
      </c>
      <c r="AO325" s="58" t="str">
        <f t="shared" si="293"/>
        <v>1,1060754004138-0,676037558518728i</v>
      </c>
      <c r="AP325">
        <f t="shared" si="294"/>
        <v>2.2542031557743205</v>
      </c>
      <c r="AQ325" s="60">
        <f t="shared" si="295"/>
        <v>-31.433434775594328</v>
      </c>
      <c r="AR325" t="str">
        <f t="shared" si="271"/>
        <v>-1,05811623246493</v>
      </c>
      <c r="AS325" t="str">
        <f t="shared" si="272"/>
        <v>1+2,18273904847515i</v>
      </c>
      <c r="AT325">
        <f t="shared" si="296"/>
        <v>2.40090602767751</v>
      </c>
      <c r="AU325">
        <f t="shared" si="297"/>
        <v>1.1411938554655976</v>
      </c>
      <c r="AV325" t="str">
        <f t="shared" si="273"/>
        <v>1+2,18273904847515i</v>
      </c>
      <c r="AW325">
        <f t="shared" si="298"/>
        <v>2.40090602767751</v>
      </c>
      <c r="AX325">
        <f t="shared" si="299"/>
        <v>1.1411938554655976</v>
      </c>
      <c r="AY325" t="str">
        <f t="shared" si="274"/>
        <v>1-0,0116617446654138i</v>
      </c>
      <c r="AZ325">
        <f t="shared" si="300"/>
        <v>1.000067995832604</v>
      </c>
      <c r="BA325">
        <f t="shared" si="301"/>
        <v>-1.1661216057215189E-2</v>
      </c>
      <c r="BB325" s="58" t="str">
        <f t="shared" si="302"/>
        <v>-0,178889624811668+0,402808850772833i</v>
      </c>
      <c r="BC325">
        <f t="shared" si="303"/>
        <v>-7.1162451165319807</v>
      </c>
      <c r="BD325" s="60">
        <f t="shared" si="304"/>
        <v>113.94627001149014</v>
      </c>
      <c r="BE325" s="58" t="str">
        <f t="shared" si="305"/>
        <v>0,142562425713994+0,071601268668248i</v>
      </c>
      <c r="BF325" s="37">
        <f t="shared" si="306"/>
        <v>-15.94298785382183</v>
      </c>
      <c r="BG325" s="60">
        <f t="shared" si="307"/>
        <v>26.667862978503873</v>
      </c>
      <c r="BH325" s="58" t="str">
        <f t="shared" si="308"/>
        <v>0,0744484986327605+0,566473066110795i</v>
      </c>
      <c r="BI325" s="37">
        <f t="shared" si="309"/>
        <v>-4.8620419607576659</v>
      </c>
      <c r="BJ325" s="60">
        <f t="shared" si="310"/>
        <v>82.512835235895821</v>
      </c>
      <c r="BK325">
        <f t="shared" si="311"/>
        <v>-15.94298785382183</v>
      </c>
      <c r="BL325" s="60">
        <f t="shared" si="312"/>
        <v>26.667862978503873</v>
      </c>
      <c r="BN325">
        <f t="shared" si="313"/>
        <v>0</v>
      </c>
      <c r="BO325">
        <f t="shared" si="314"/>
        <v>0</v>
      </c>
    </row>
    <row r="326" spans="13:67" x14ac:dyDescent="0.25">
      <c r="M326" s="66">
        <v>8</v>
      </c>
      <c r="N326" s="36">
        <f t="shared" si="316"/>
        <v>12022.644346174151</v>
      </c>
      <c r="O326" s="91" t="str">
        <f t="shared" si="263"/>
        <v>13,7404580152672</v>
      </c>
      <c r="P326" s="67" t="str">
        <f t="shared" si="264"/>
        <v>1+81,5837424940733i</v>
      </c>
      <c r="Q326" s="67">
        <f t="shared" si="275"/>
        <v>81.589870935914973</v>
      </c>
      <c r="R326" s="67">
        <f t="shared" si="276"/>
        <v>1.5585395965553019</v>
      </c>
      <c r="S326" s="67" t="str">
        <f t="shared" si="265"/>
        <v>1+2,26621506927982i</v>
      </c>
      <c r="T326" s="67">
        <f t="shared" si="277"/>
        <v>2.4770407223602398</v>
      </c>
      <c r="U326" s="67">
        <f t="shared" si="278"/>
        <v>1.1552306418891436</v>
      </c>
      <c r="V326" t="str">
        <f t="shared" si="266"/>
        <v>1-0,472128139433294i</v>
      </c>
      <c r="W326" s="67">
        <f t="shared" si="279"/>
        <v>1.1058503425168995</v>
      </c>
      <c r="X326" s="67">
        <f t="shared" si="280"/>
        <v>-0.44110254935895665</v>
      </c>
      <c r="Y326" t="str">
        <f t="shared" si="267"/>
        <v>0,990749185467226+0,819220409268071i</v>
      </c>
      <c r="Z326" s="67">
        <f t="shared" si="281"/>
        <v>1.2855761461171087</v>
      </c>
      <c r="AA326" s="67">
        <f t="shared" si="282"/>
        <v>0.69091148347149478</v>
      </c>
      <c r="AB326" s="92" t="str">
        <f t="shared" si="283"/>
        <v>0,0127264608878241-0,358610791779976i</v>
      </c>
      <c r="AC326" s="37">
        <f t="shared" si="284"/>
        <v>-8.902066779486729</v>
      </c>
      <c r="AD326" s="60">
        <f t="shared" si="285"/>
        <v>-87.96752737297264</v>
      </c>
      <c r="AE326" t="str">
        <f t="shared" si="286"/>
        <v>21,0353732052265</v>
      </c>
      <c r="AF326" t="str">
        <f t="shared" si="268"/>
        <v>1+40,7918712470367i</v>
      </c>
      <c r="AG326">
        <f t="shared" si="287"/>
        <v>40.804126750058252</v>
      </c>
      <c r="AH326">
        <f t="shared" si="288"/>
        <v>1.5462865478039662</v>
      </c>
      <c r="AI326" t="str">
        <f t="shared" si="269"/>
        <v>1+2,26621506927982i</v>
      </c>
      <c r="AJ326">
        <f t="shared" si="289"/>
        <v>2.4770407223602398</v>
      </c>
      <c r="AK326">
        <f t="shared" si="290"/>
        <v>1.1552306418891436</v>
      </c>
      <c r="AL326" t="str">
        <f t="shared" si="270"/>
        <v>1-0,154196404642821i</v>
      </c>
      <c r="AM326">
        <f t="shared" si="291"/>
        <v>1.0118184279823987</v>
      </c>
      <c r="AN326">
        <f t="shared" si="292"/>
        <v>-0.15299146288470056</v>
      </c>
      <c r="AO326" s="58" t="str">
        <f t="shared" si="293"/>
        <v>1,10551128511089-0,668773177345957i</v>
      </c>
      <c r="AP326">
        <f t="shared" si="294"/>
        <v>2.2256372977139947</v>
      </c>
      <c r="AQ326" s="60">
        <f t="shared" si="295"/>
        <v>-31.171618087409993</v>
      </c>
      <c r="AR326" t="str">
        <f t="shared" si="271"/>
        <v>-1,05811623246493</v>
      </c>
      <c r="AS326" t="str">
        <f t="shared" si="272"/>
        <v>1+2,23358157228218i</v>
      </c>
      <c r="AT326">
        <f t="shared" si="296"/>
        <v>2.4472201862600214</v>
      </c>
      <c r="AU326">
        <f t="shared" si="297"/>
        <v>1.1498472063133038</v>
      </c>
      <c r="AV326" t="str">
        <f t="shared" si="273"/>
        <v>1+2,23358157228218i</v>
      </c>
      <c r="AW326">
        <f t="shared" si="298"/>
        <v>2.4472201862600214</v>
      </c>
      <c r="AX326">
        <f t="shared" si="299"/>
        <v>1.1498472063133038</v>
      </c>
      <c r="AY326" t="str">
        <f t="shared" si="274"/>
        <v>1-0,0113962909483252i</v>
      </c>
      <c r="AZ326">
        <f t="shared" si="300"/>
        <v>1.0000649356153724</v>
      </c>
      <c r="BA326">
        <f t="shared" si="301"/>
        <v>-1.1395797620638864E-2</v>
      </c>
      <c r="BB326" s="58" t="str">
        <f t="shared" si="302"/>
        <v>-0,172182648747351+0,396642591751135i</v>
      </c>
      <c r="BC326">
        <f t="shared" si="303"/>
        <v>-7.2822293831963467</v>
      </c>
      <c r="BD326" s="60">
        <f t="shared" si="304"/>
        <v>113.46567688549142</v>
      </c>
      <c r="BE326" s="58" t="str">
        <f t="shared" si="305"/>
        <v>0,140049038136691+0,066794412428427i</v>
      </c>
      <c r="BF326" s="37">
        <f t="shared" si="306"/>
        <v>-16.184296162683086</v>
      </c>
      <c r="BG326" s="60">
        <f t="shared" si="307"/>
        <v>25.498149512518797</v>
      </c>
      <c r="BH326" s="58" t="str">
        <f t="shared" si="308"/>
        <v>0,0749140650656608+0,55364399842312i</v>
      </c>
      <c r="BI326" s="37">
        <f t="shared" si="309"/>
        <v>-5.0565920854823565</v>
      </c>
      <c r="BJ326" s="60">
        <f t="shared" si="310"/>
        <v>82.294058798081437</v>
      </c>
      <c r="BK326">
        <f t="shared" si="311"/>
        <v>-16.184296162683086</v>
      </c>
      <c r="BL326" s="60">
        <f t="shared" si="312"/>
        <v>25.498149512518797</v>
      </c>
      <c r="BN326">
        <f t="shared" si="313"/>
        <v>0</v>
      </c>
      <c r="BO326">
        <f t="shared" si="314"/>
        <v>0</v>
      </c>
    </row>
    <row r="327" spans="13:67" x14ac:dyDescent="0.25">
      <c r="M327" s="66">
        <v>9</v>
      </c>
      <c r="N327" s="36">
        <f t="shared" si="316"/>
        <v>12302.687708123816</v>
      </c>
      <c r="O327" s="91" t="str">
        <f t="shared" si="263"/>
        <v>13,7404580152672</v>
      </c>
      <c r="P327" s="67" t="str">
        <f t="shared" si="264"/>
        <v>1+83,4840719782227i</v>
      </c>
      <c r="Q327" s="67">
        <f t="shared" si="275"/>
        <v>83.490060929820061</v>
      </c>
      <c r="R327" s="67">
        <f t="shared" si="276"/>
        <v>1.558818566803043</v>
      </c>
      <c r="S327" s="67" t="str">
        <f t="shared" si="265"/>
        <v>1+2,31900199939508i</v>
      </c>
      <c r="T327" s="67">
        <f t="shared" si="277"/>
        <v>2.52542477084517</v>
      </c>
      <c r="U327" s="67">
        <f t="shared" si="278"/>
        <v>1.1636691170754603</v>
      </c>
      <c r="V327" t="str">
        <f t="shared" si="266"/>
        <v>1-0,483125416540641i</v>
      </c>
      <c r="W327" s="67">
        <f t="shared" si="279"/>
        <v>1.1105900090076302</v>
      </c>
      <c r="X327" s="67">
        <f t="shared" si="280"/>
        <v>-0.45005703930815205</v>
      </c>
      <c r="Y327" t="str">
        <f t="shared" si="267"/>
        <v>0,990313208010008+0,838302503937388i</v>
      </c>
      <c r="Z327" s="67">
        <f t="shared" si="281"/>
        <v>1.2974865463914329</v>
      </c>
      <c r="AA327" s="67">
        <f t="shared" si="282"/>
        <v>0.70246001736249242</v>
      </c>
      <c r="AB327" s="92" t="str">
        <f t="shared" si="283"/>
        <v>0,00822782985562636-0,355660458973633i</v>
      </c>
      <c r="AC327" s="37">
        <f t="shared" si="284"/>
        <v>-8.9769646748564629</v>
      </c>
      <c r="AD327" s="60">
        <f t="shared" si="285"/>
        <v>-88.674758910375274</v>
      </c>
      <c r="AE327" t="str">
        <f t="shared" si="286"/>
        <v>21,0353732052265</v>
      </c>
      <c r="AF327" t="str">
        <f t="shared" si="268"/>
        <v>1+41,7420359891114i</v>
      </c>
      <c r="AG327">
        <f t="shared" si="287"/>
        <v>41.754012603775834</v>
      </c>
      <c r="AH327">
        <f t="shared" si="288"/>
        <v>1.5468442426456086</v>
      </c>
      <c r="AI327" t="str">
        <f t="shared" si="269"/>
        <v>1+2,31900199939508i</v>
      </c>
      <c r="AJ327">
        <f t="shared" si="289"/>
        <v>2.52542477084517</v>
      </c>
      <c r="AK327">
        <f t="shared" si="290"/>
        <v>1.1636691170754603</v>
      </c>
      <c r="AL327" t="str">
        <f t="shared" si="270"/>
        <v>1-0,157788100305886i</v>
      </c>
      <c r="AM327">
        <f t="shared" si="291"/>
        <v>1.0123720089957744</v>
      </c>
      <c r="AN327">
        <f t="shared" si="292"/>
        <v>-0.15649783259864397</v>
      </c>
      <c r="AO327" s="58" t="str">
        <f t="shared" si="293"/>
        <v>1,10497252936629-0,661862144123254i</v>
      </c>
      <c r="AP327">
        <f t="shared" si="294"/>
        <v>2.1985313690227337</v>
      </c>
      <c r="AQ327" s="60">
        <f t="shared" si="295"/>
        <v>-30.920982820412046</v>
      </c>
      <c r="AR327" t="str">
        <f t="shared" si="271"/>
        <v>-1,05811623246493</v>
      </c>
      <c r="AS327" t="str">
        <f t="shared" si="272"/>
        <v>1+2,28560837060379i</v>
      </c>
      <c r="AT327">
        <f t="shared" si="296"/>
        <v>2.4947957078234104</v>
      </c>
      <c r="AU327">
        <f t="shared" si="297"/>
        <v>1.1583688686654692</v>
      </c>
      <c r="AV327" t="str">
        <f t="shared" si="273"/>
        <v>1+2,28560837060379i</v>
      </c>
      <c r="AW327">
        <f t="shared" si="298"/>
        <v>2.4947957078234104</v>
      </c>
      <c r="AX327">
        <f t="shared" si="299"/>
        <v>1.1583688686654692</v>
      </c>
      <c r="AY327" t="str">
        <f t="shared" si="274"/>
        <v>1-0,0111368796955452i</v>
      </c>
      <c r="AZ327">
        <f t="shared" si="300"/>
        <v>1.0000620131218629</v>
      </c>
      <c r="BA327">
        <f t="shared" si="301"/>
        <v>-1.113641929374567E-2</v>
      </c>
      <c r="BB327" s="58" t="str">
        <f t="shared" si="302"/>
        <v>-0,165678250802121+0,390459710045187i</v>
      </c>
      <c r="BC327">
        <f t="shared" si="303"/>
        <v>-7.4494936032970092</v>
      </c>
      <c r="BD327" s="60">
        <f t="shared" si="304"/>
        <v>112.99228288170499</v>
      </c>
      <c r="BE327" s="58" t="str">
        <f t="shared" si="305"/>
        <v>0,137507907227005+0,06213783878196i</v>
      </c>
      <c r="BF327" s="37">
        <f t="shared" si="306"/>
        <v>-16.426458278153486</v>
      </c>
      <c r="BG327" s="60">
        <f t="shared" si="307"/>
        <v>24.317523971329752</v>
      </c>
      <c r="BH327" s="58" t="str">
        <f t="shared" si="308"/>
        <v>0,0753605850344493+0,541103415734741i</v>
      </c>
      <c r="BI327" s="37">
        <f t="shared" si="309"/>
        <v>-5.2509622342742652</v>
      </c>
      <c r="BJ327" s="60">
        <f t="shared" si="310"/>
        <v>82.071300061292959</v>
      </c>
      <c r="BK327">
        <f t="shared" si="311"/>
        <v>-16.426458278153486</v>
      </c>
      <c r="BL327" s="60">
        <f t="shared" si="312"/>
        <v>24.317523971329752</v>
      </c>
      <c r="BN327">
        <f t="shared" si="313"/>
        <v>0</v>
      </c>
      <c r="BO327">
        <f t="shared" si="314"/>
        <v>0</v>
      </c>
    </row>
    <row r="328" spans="13:67" x14ac:dyDescent="0.25">
      <c r="M328" s="66">
        <v>10</v>
      </c>
      <c r="N328" s="36">
        <f t="shared" si="316"/>
        <v>12589.254117941671</v>
      </c>
      <c r="O328" s="91" t="str">
        <f t="shared" si="263"/>
        <v>13,7404580152672</v>
      </c>
      <c r="P328" s="67" t="str">
        <f t="shared" si="264"/>
        <v>1+85,4286658223773i</v>
      </c>
      <c r="Q328" s="67">
        <f t="shared" si="275"/>
        <v>85.434518458240376</v>
      </c>
      <c r="R328" s="67">
        <f t="shared" si="276"/>
        <v>1.5590911887142422</v>
      </c>
      <c r="S328" s="67" t="str">
        <f t="shared" si="265"/>
        <v>1+2,37301849506604i</v>
      </c>
      <c r="T328" s="67">
        <f t="shared" si="277"/>
        <v>2.5751149057712923</v>
      </c>
      <c r="U328" s="67">
        <f t="shared" si="278"/>
        <v>1.1719752781923602</v>
      </c>
      <c r="V328" t="str">
        <f t="shared" si="266"/>
        <v>1-0,494378853138758i</v>
      </c>
      <c r="W328" s="67">
        <f t="shared" si="279"/>
        <v>1.1155314654597572</v>
      </c>
      <c r="X328" s="67">
        <f t="shared" si="280"/>
        <v>-0.45914058811030489</v>
      </c>
      <c r="Y328" t="str">
        <f t="shared" si="267"/>
        <v>0,989856683568249+0,857829077690538i</v>
      </c>
      <c r="Z328" s="67">
        <f t="shared" si="281"/>
        <v>1.3098423494971185</v>
      </c>
      <c r="AA328" s="67">
        <f t="shared" si="282"/>
        <v>0.71406374741801415</v>
      </c>
      <c r="AB328" s="92" t="str">
        <f t="shared" si="283"/>
        <v>0,00369503142663213-0,352698336453861i</v>
      </c>
      <c r="AC328" s="37">
        <f t="shared" si="284"/>
        <v>-9.0514551352569779</v>
      </c>
      <c r="AD328" s="60">
        <f t="shared" si="285"/>
        <v>-89.399764787490696</v>
      </c>
      <c r="AE328" t="str">
        <f t="shared" si="286"/>
        <v>21,0353732052265</v>
      </c>
      <c r="AF328" t="str">
        <f t="shared" si="268"/>
        <v>1+42,7143329111887i</v>
      </c>
      <c r="AG328">
        <f t="shared" si="287"/>
        <v>42.726036980368988</v>
      </c>
      <c r="AH328">
        <f t="shared" si="288"/>
        <v>1.5473892572029309</v>
      </c>
      <c r="AI328" t="str">
        <f t="shared" si="269"/>
        <v>1+2,37301849506604i</v>
      </c>
      <c r="AJ328">
        <f t="shared" si="289"/>
        <v>2.5751149057712923</v>
      </c>
      <c r="AK328">
        <f t="shared" si="290"/>
        <v>1.1719752781923602</v>
      </c>
      <c r="AL328" t="str">
        <f t="shared" si="270"/>
        <v>1-0,161463457308306i</v>
      </c>
      <c r="AM328">
        <f t="shared" si="291"/>
        <v>1.0129513552219331</v>
      </c>
      <c r="AN328">
        <f t="shared" si="292"/>
        <v>-0.16008186346593509</v>
      </c>
      <c r="AO328" s="58" t="str">
        <f t="shared" si="293"/>
        <v>1,10445799443286-0,655300877496146i</v>
      </c>
      <c r="AP328">
        <f t="shared" si="294"/>
        <v>2.1728562416631156</v>
      </c>
      <c r="AQ328" s="60">
        <f t="shared" si="295"/>
        <v>-30.681651720706096</v>
      </c>
      <c r="AR328" t="str">
        <f t="shared" si="271"/>
        <v>-1,05811623246493</v>
      </c>
      <c r="AS328" t="str">
        <f t="shared" si="272"/>
        <v>1+2,33884702873709i</v>
      </c>
      <c r="AT328">
        <f t="shared" si="296"/>
        <v>2.5436598482958201</v>
      </c>
      <c r="AU328">
        <f t="shared" si="297"/>
        <v>1.1667584091162653</v>
      </c>
      <c r="AV328" t="str">
        <f t="shared" si="273"/>
        <v>1+2,33884702873709i</v>
      </c>
      <c r="AW328">
        <f t="shared" si="298"/>
        <v>2.5436598482958201</v>
      </c>
      <c r="AX328">
        <f t="shared" si="299"/>
        <v>1.1667584091162653</v>
      </c>
      <c r="AY328" t="str">
        <f t="shared" si="274"/>
        <v>1-0,0108833733637938i</v>
      </c>
      <c r="AZ328">
        <f t="shared" si="300"/>
        <v>1.0000592221542561</v>
      </c>
      <c r="BA328">
        <f t="shared" si="301"/>
        <v>-1.0882943690395308E-2</v>
      </c>
      <c r="BB328" s="58" t="str">
        <f t="shared" si="302"/>
        <v>-0,159373976123109+0,384267224533755i</v>
      </c>
      <c r="BC328">
        <f t="shared" si="303"/>
        <v>-7.6179987738171571</v>
      </c>
      <c r="BD328" s="60">
        <f t="shared" si="304"/>
        <v>112.52612070410166</v>
      </c>
      <c r="BE328" s="58" t="str">
        <f t="shared" si="305"/>
        <v>0,134941518996435+0,0576308157235348i</v>
      </c>
      <c r="BF328" s="37">
        <f t="shared" si="306"/>
        <v>-16.669453909074161</v>
      </c>
      <c r="BG328" s="60">
        <f t="shared" si="307"/>
        <v>23.126355916611011</v>
      </c>
      <c r="BH328" s="58" t="str">
        <f t="shared" si="308"/>
        <v>0,0757887873962587+0,528844914538356i</v>
      </c>
      <c r="BI328" s="37">
        <f t="shared" si="309"/>
        <v>-5.445142532154037</v>
      </c>
      <c r="BJ328" s="60">
        <f t="shared" si="310"/>
        <v>81.844468983395572</v>
      </c>
      <c r="BK328">
        <f t="shared" si="311"/>
        <v>-16.669453909074161</v>
      </c>
      <c r="BL328" s="60">
        <f t="shared" si="312"/>
        <v>23.126355916611011</v>
      </c>
      <c r="BN328">
        <f t="shared" si="313"/>
        <v>0</v>
      </c>
      <c r="BO328">
        <f t="shared" si="314"/>
        <v>0</v>
      </c>
    </row>
    <row r="329" spans="13:67" x14ac:dyDescent="0.25">
      <c r="M329" s="66">
        <v>11</v>
      </c>
      <c r="N329" s="36">
        <f t="shared" si="316"/>
        <v>12882.49551693136</v>
      </c>
      <c r="O329" s="91" t="str">
        <f t="shared" si="263"/>
        <v>13,7404580152672</v>
      </c>
      <c r="P329" s="67" t="str">
        <f t="shared" si="264"/>
        <v>1+87,4185550759332i</v>
      </c>
      <c r="Q329" s="67">
        <f t="shared" si="275"/>
        <v>87.424274498356397</v>
      </c>
      <c r="R329" s="67">
        <f t="shared" si="276"/>
        <v>1.5593576066744566</v>
      </c>
      <c r="S329" s="67" t="str">
        <f t="shared" si="265"/>
        <v>1+2,4282931965537i</v>
      </c>
      <c r="T329" s="67">
        <f t="shared" si="277"/>
        <v>2.6261393429193713</v>
      </c>
      <c r="U329" s="67">
        <f t="shared" si="278"/>
        <v>1.1801489437348374</v>
      </c>
      <c r="V329" t="str">
        <f t="shared" si="266"/>
        <v>1-0,505894415948687i</v>
      </c>
      <c r="W329" s="67">
        <f t="shared" si="279"/>
        <v>1.1206824528331221</v>
      </c>
      <c r="X329" s="67">
        <f t="shared" si="280"/>
        <v>-0.46835201508203927</v>
      </c>
      <c r="Y329" t="str">
        <f t="shared" si="267"/>
        <v>0,9893786437924+0,877810483775392i</v>
      </c>
      <c r="Z329" s="67">
        <f t="shared" si="281"/>
        <v>1.3226569268780457</v>
      </c>
      <c r="AA329" s="67">
        <f t="shared" si="282"/>
        <v>0.72571718890275028</v>
      </c>
      <c r="AB329" s="92" t="str">
        <f t="shared" si="283"/>
        <v>-0,000867846980422725-0,349720396897208i</v>
      </c>
      <c r="AC329" s="37">
        <f t="shared" si="284"/>
        <v>-9.1255540040013408</v>
      </c>
      <c r="AD329" s="60">
        <f t="shared" si="285"/>
        <v>-90.142181776113404</v>
      </c>
      <c r="AE329" t="str">
        <f t="shared" si="286"/>
        <v>21,0353732052265</v>
      </c>
      <c r="AF329" t="str">
        <f t="shared" si="268"/>
        <v>1+43,7092775379666i</v>
      </c>
      <c r="AG329">
        <f t="shared" si="287"/>
        <v>43.720715260514567</v>
      </c>
      <c r="AH329">
        <f t="shared" si="288"/>
        <v>1.5479218791539904</v>
      </c>
      <c r="AI329" t="str">
        <f t="shared" si="269"/>
        <v>1+2,4282931965537i</v>
      </c>
      <c r="AJ329">
        <f t="shared" si="289"/>
        <v>2.6261393429193713</v>
      </c>
      <c r="AK329">
        <f t="shared" si="290"/>
        <v>1.1801489437348374</v>
      </c>
      <c r="AL329" t="str">
        <f t="shared" si="270"/>
        <v>1-0,165224424373013i</v>
      </c>
      <c r="AM329">
        <f t="shared" si="291"/>
        <v>1.0135576502643515</v>
      </c>
      <c r="AN329">
        <f t="shared" si="292"/>
        <v>-0.16374508729630302</v>
      </c>
      <c r="AO329" s="58" t="str">
        <f t="shared" si="293"/>
        <v>1,10396659258516-0,649085976033597i</v>
      </c>
      <c r="AP329">
        <f t="shared" si="294"/>
        <v>2.148583706726201</v>
      </c>
      <c r="AQ329" s="60">
        <f t="shared" si="295"/>
        <v>-30.45373943673421</v>
      </c>
      <c r="AR329" t="str">
        <f t="shared" si="271"/>
        <v>-1,05811623246493</v>
      </c>
      <c r="AS329" t="str">
        <f t="shared" si="272"/>
        <v>1+2,39332577452333i</v>
      </c>
      <c r="AT329">
        <f t="shared" si="296"/>
        <v>2.5938404467117282</v>
      </c>
      <c r="AU329">
        <f t="shared" si="297"/>
        <v>1.1750155509190956</v>
      </c>
      <c r="AV329" t="str">
        <f t="shared" si="273"/>
        <v>1+2,39332577452333i</v>
      </c>
      <c r="AW329">
        <f t="shared" si="298"/>
        <v>2.5938404467117282</v>
      </c>
      <c r="AX329">
        <f t="shared" si="299"/>
        <v>1.1750155509190956</v>
      </c>
      <c r="AY329" t="str">
        <f t="shared" si="274"/>
        <v>1-0,0106356375406583i</v>
      </c>
      <c r="AZ329">
        <f t="shared" si="300"/>
        <v>1.0000565567936126</v>
      </c>
      <c r="BA329">
        <f t="shared" si="301"/>
        <v>-1.0635236544828711E-2</v>
      </c>
      <c r="BB329" s="58" t="str">
        <f t="shared" si="302"/>
        <v>-0,153267107354891+0,378071859143478i</v>
      </c>
      <c r="BC329">
        <f t="shared" si="303"/>
        <v>-7.7877063913009357</v>
      </c>
      <c r="BD329" s="60">
        <f t="shared" si="304"/>
        <v>112.0672139019546</v>
      </c>
      <c r="BE329" s="58" t="str">
        <f t="shared" si="305"/>
        <v>0,132352453031639+0,053272525094099i</v>
      </c>
      <c r="BF329" s="37">
        <f t="shared" si="306"/>
        <v>-16.913260395302249</v>
      </c>
      <c r="BG329" s="60">
        <f t="shared" si="307"/>
        <v>21.925032125841124</v>
      </c>
      <c r="BH329" s="58" t="str">
        <f t="shared" si="308"/>
        <v>0,0761993754410181+0,516862232062258i</v>
      </c>
      <c r="BI329" s="37">
        <f t="shared" si="309"/>
        <v>-5.6391226845747262</v>
      </c>
      <c r="BJ329" s="60">
        <f t="shared" si="310"/>
        <v>81.613474465220406</v>
      </c>
      <c r="BK329">
        <f t="shared" si="311"/>
        <v>-16.913260395302249</v>
      </c>
      <c r="BL329" s="60">
        <f t="shared" si="312"/>
        <v>21.925032125841124</v>
      </c>
      <c r="BN329">
        <f t="shared" si="313"/>
        <v>0</v>
      </c>
      <c r="BO329">
        <f t="shared" si="314"/>
        <v>0</v>
      </c>
    </row>
    <row r="330" spans="13:67" x14ac:dyDescent="0.25">
      <c r="M330" s="66">
        <v>12</v>
      </c>
      <c r="N330" s="36">
        <f t="shared" si="316"/>
        <v>13182.567385564091</v>
      </c>
      <c r="O330" s="91" t="str">
        <f t="shared" si="263"/>
        <v>13,7404580152672</v>
      </c>
      <c r="P330" s="67" t="str">
        <f t="shared" si="264"/>
        <v>1+89,4547948045116i</v>
      </c>
      <c r="Q330" s="67">
        <f t="shared" si="275"/>
        <v>89.460384045214525</v>
      </c>
      <c r="R330" s="67">
        <f t="shared" si="276"/>
        <v>1.5596179617906483</v>
      </c>
      <c r="S330" s="67" t="str">
        <f t="shared" si="265"/>
        <v>1+2,48485541123644i</v>
      </c>
      <c r="T330" s="67">
        <f t="shared" si="277"/>
        <v>2.6785269113359709</v>
      </c>
      <c r="U330" s="67">
        <f t="shared" si="278"/>
        <v>1.1881900778560635</v>
      </c>
      <c r="V330" t="str">
        <f t="shared" si="266"/>
        <v>1-0,517678210674257i</v>
      </c>
      <c r="W330" s="67">
        <f t="shared" si="279"/>
        <v>1.1260509445877218</v>
      </c>
      <c r="X330" s="67">
        <f t="shared" si="280"/>
        <v>-0.47768995056044294</v>
      </c>
      <c r="Y330" t="str">
        <f t="shared" si="267"/>
        <v>0,988878074696004+0,898257316597937i</v>
      </c>
      <c r="Z330" s="67">
        <f t="shared" si="281"/>
        <v>1.3359438810953856</v>
      </c>
      <c r="AA330" s="67">
        <f t="shared" si="282"/>
        <v>0.73741474939081131</v>
      </c>
      <c r="AB330" s="92" t="str">
        <f t="shared" si="283"/>
        <v>-0,00545657096155975-0,346722890927818i</v>
      </c>
      <c r="AC330" s="37">
        <f t="shared" si="284"/>
        <v>-9.1992742115393362</v>
      </c>
      <c r="AD330" s="60">
        <f t="shared" si="285"/>
        <v>-90.901621116643867</v>
      </c>
      <c r="AE330" t="str">
        <f t="shared" si="286"/>
        <v>21,0353732052265</v>
      </c>
      <c r="AF330" t="str">
        <f t="shared" si="268"/>
        <v>1+44,7273974022558i</v>
      </c>
      <c r="AG330">
        <f t="shared" si="287"/>
        <v>44.738574836256447</v>
      </c>
      <c r="AH330">
        <f t="shared" si="288"/>
        <v>1.5484423896925232</v>
      </c>
      <c r="AI330" t="str">
        <f t="shared" si="269"/>
        <v>1+2,48485541123644i</v>
      </c>
      <c r="AJ330">
        <f t="shared" si="289"/>
        <v>2.6785269113359709</v>
      </c>
      <c r="AK330">
        <f t="shared" si="290"/>
        <v>1.1881900778560635</v>
      </c>
      <c r="AL330" t="str">
        <f t="shared" si="270"/>
        <v>1-0,169072995614525i</v>
      </c>
      <c r="AM330">
        <f t="shared" si="291"/>
        <v>1.0141921306370254</v>
      </c>
      <c r="AN330">
        <f t="shared" si="292"/>
        <v>-0.16748905291946461</v>
      </c>
      <c r="AO330" s="58" t="str">
        <f t="shared" si="293"/>
        <v>1,10349728484338-0,643214216792356i</v>
      </c>
      <c r="AP330">
        <f t="shared" si="294"/>
        <v>2.125686535158593</v>
      </c>
      <c r="AQ330" s="60">
        <f t="shared" si="295"/>
        <v>-30.237352874988719</v>
      </c>
      <c r="AR330" t="str">
        <f t="shared" si="271"/>
        <v>-1,05811623246493</v>
      </c>
      <c r="AS330" t="str">
        <f t="shared" si="272"/>
        <v>1+2,44907349331463i</v>
      </c>
      <c r="AT330">
        <f t="shared" si="296"/>
        <v>2.6453659436184487</v>
      </c>
      <c r="AU330">
        <f t="shared" si="297"/>
        <v>1.1831401672673549</v>
      </c>
      <c r="AV330" t="str">
        <f t="shared" si="273"/>
        <v>1+2,44907349331463i</v>
      </c>
      <c r="AW330">
        <f t="shared" si="298"/>
        <v>2.6453659436184487</v>
      </c>
      <c r="AX330">
        <f t="shared" si="299"/>
        <v>1.1831401672673549</v>
      </c>
      <c r="AY330" t="str">
        <f t="shared" si="274"/>
        <v>1-0,0103935408733262i</v>
      </c>
      <c r="AZ330">
        <f t="shared" si="300"/>
        <v>1.0000540113873277</v>
      </c>
      <c r="BA330">
        <f t="shared" si="301"/>
        <v>-1.039316664110059E-2</v>
      </c>
      <c r="BB330" s="58" t="str">
        <f t="shared" si="302"/>
        <v>-0,147354689218276+0,371880037790948i</v>
      </c>
      <c r="BC330">
        <f t="shared" si="303"/>
        <v>-7.9585785004825667</v>
      </c>
      <c r="BD330" s="60">
        <f t="shared" si="304"/>
        <v>111.61557725886712</v>
      </c>
      <c r="BE330" s="58" t="str">
        <f t="shared" si="305"/>
        <v>0,129743373099462+0,049062054022137i</v>
      </c>
      <c r="BF330" s="37">
        <f t="shared" si="306"/>
        <v>-17.157852712021892</v>
      </c>
      <c r="BG330" s="60">
        <f t="shared" si="307"/>
        <v>20.713956142223225</v>
      </c>
      <c r="BH330" s="58" t="str">
        <f t="shared" si="308"/>
        <v>0,0765930277871088+0,505149243005979i</v>
      </c>
      <c r="BI330" s="37">
        <f t="shared" si="309"/>
        <v>-5.8328919653239772</v>
      </c>
      <c r="BJ330" s="60">
        <f t="shared" si="310"/>
        <v>81.378224383878404</v>
      </c>
      <c r="BK330">
        <f t="shared" si="311"/>
        <v>-17.157852712021892</v>
      </c>
      <c r="BL330" s="60">
        <f t="shared" si="312"/>
        <v>20.713956142223225</v>
      </c>
      <c r="BN330">
        <f t="shared" si="313"/>
        <v>0</v>
      </c>
      <c r="BO330">
        <f t="shared" si="314"/>
        <v>0</v>
      </c>
    </row>
    <row r="331" spans="13:67" x14ac:dyDescent="0.25">
      <c r="M331" s="66">
        <v>13</v>
      </c>
      <c r="N331" s="36">
        <f t="shared" si="316"/>
        <v>13489.628825916556</v>
      </c>
      <c r="O331" s="91" t="str">
        <f t="shared" si="263"/>
        <v>13,7404580152672</v>
      </c>
      <c r="P331" s="67" t="str">
        <f t="shared" si="264"/>
        <v>1+91,5384646493695i</v>
      </c>
      <c r="Q331" s="67">
        <f t="shared" si="275"/>
        <v>91.543926671100749</v>
      </c>
      <c r="R331" s="67">
        <f t="shared" si="276"/>
        <v>1.5598723919652806</v>
      </c>
      <c r="S331" s="67" t="str">
        <f t="shared" si="265"/>
        <v>1+2,54273512914916i</v>
      </c>
      <c r="T331" s="67">
        <f t="shared" si="277"/>
        <v>2.7323070722393545</v>
      </c>
      <c r="U331" s="67">
        <f t="shared" si="278"/>
        <v>1.1960987835202341</v>
      </c>
      <c r="V331" t="str">
        <f t="shared" si="266"/>
        <v>1-0,529736485239407i</v>
      </c>
      <c r="W331" s="67">
        <f t="shared" si="279"/>
        <v>1.131645149237958</v>
      </c>
      <c r="X331" s="67">
        <f t="shared" si="280"/>
        <v>-0.48715283081886268</v>
      </c>
      <c r="Y331" t="str">
        <f t="shared" si="267"/>
        <v>0,988353914504896+0,919180417339583i</v>
      </c>
      <c r="Z331" s="67">
        <f t="shared" si="281"/>
        <v>1.3497170443977216</v>
      </c>
      <c r="AA331" s="67">
        <f t="shared" si="282"/>
        <v>0.74915074271625692</v>
      </c>
      <c r="AB331" s="92" t="str">
        <f t="shared" si="283"/>
        <v>-0,0100667760937298-0,343702357282829i</v>
      </c>
      <c r="AC331" s="37">
        <f t="shared" si="284"/>
        <v>-9.2726257486810653</v>
      </c>
      <c r="AD331" s="60">
        <f t="shared" si="285"/>
        <v>-91.677669422649586</v>
      </c>
      <c r="AE331" t="str">
        <f t="shared" si="286"/>
        <v>21,0353732052265</v>
      </c>
      <c r="AF331" t="str">
        <f t="shared" si="268"/>
        <v>1+45,7692323246848i</v>
      </c>
      <c r="AG331">
        <f t="shared" si="287"/>
        <v>45.780155390638114</v>
      </c>
      <c r="AH331">
        <f t="shared" si="288"/>
        <v>1.5489510636712798</v>
      </c>
      <c r="AI331" t="str">
        <f t="shared" si="269"/>
        <v>1+2,54273512914916i</v>
      </c>
      <c r="AJ331">
        <f t="shared" si="289"/>
        <v>2.7323070722393545</v>
      </c>
      <c r="AK331">
        <f t="shared" si="290"/>
        <v>1.1960987835202341</v>
      </c>
      <c r="AL331" t="str">
        <f t="shared" si="270"/>
        <v>1-0,173011211596258i</v>
      </c>
      <c r="AM331">
        <f t="shared" si="291"/>
        <v>1.0148560879937634</v>
      </c>
      <c r="AN331">
        <f t="shared" si="292"/>
        <v>-0.1713153253821296</v>
      </c>
      <c r="AO331" s="58" t="str">
        <f t="shared" si="293"/>
        <v>1,10304907879785-0,637682553951485i</v>
      </c>
      <c r="AP331">
        <f t="shared" si="294"/>
        <v>2.1041385341745475</v>
      </c>
      <c r="AQ331" s="60">
        <f t="shared" si="295"/>
        <v>-30.032591554529045</v>
      </c>
      <c r="AR331" t="str">
        <f t="shared" si="271"/>
        <v>-1,05811623246493</v>
      </c>
      <c r="AS331" t="str">
        <f t="shared" si="272"/>
        <v>1+2,50611974328941i</v>
      </c>
      <c r="AT331">
        <f t="shared" si="296"/>
        <v>2.698265399790202</v>
      </c>
      <c r="AU331">
        <f t="shared" si="297"/>
        <v>1.1911322744843502</v>
      </c>
      <c r="AV331" t="str">
        <f t="shared" si="273"/>
        <v>1+2,50611974328941i</v>
      </c>
      <c r="AW331">
        <f t="shared" si="298"/>
        <v>2.698265399790202</v>
      </c>
      <c r="AX331">
        <f t="shared" si="299"/>
        <v>1.1911322744843502</v>
      </c>
      <c r="AY331" t="str">
        <f t="shared" si="274"/>
        <v>1-0,01015695499894i</v>
      </c>
      <c r="AZ331">
        <f t="shared" si="300"/>
        <v>1.0000515805371493</v>
      </c>
      <c r="BA331">
        <f t="shared" si="301"/>
        <v>-1.0156605744087206E-2</v>
      </c>
      <c r="BB331" s="58" t="str">
        <f t="shared" si="302"/>
        <v>-0,141633552477669+0,365697881133298i</v>
      </c>
      <c r="BC331">
        <f t="shared" si="303"/>
        <v>-8.1305777382011595</v>
      </c>
      <c r="BD331" s="60">
        <f t="shared" si="304"/>
        <v>111.17121718691385</v>
      </c>
      <c r="BE331" s="58" t="str">
        <f t="shared" si="305"/>
        <v>0,127117017059003+0,0449983871695958i</v>
      </c>
      <c r="BF331" s="37">
        <f t="shared" si="306"/>
        <v>-17.403203486882198</v>
      </c>
      <c r="BG331" s="60">
        <f t="shared" si="307"/>
        <v>19.493547764264196</v>
      </c>
      <c r="BH331" s="58" t="str">
        <f t="shared" si="308"/>
        <v>0,0769703992283683+0,493699956371592i</v>
      </c>
      <c r="BI331" s="37">
        <f t="shared" si="309"/>
        <v>-6.0264392040266079</v>
      </c>
      <c r="BJ331" s="60">
        <f t="shared" si="310"/>
        <v>81.138625632384816</v>
      </c>
      <c r="BK331">
        <f t="shared" si="311"/>
        <v>-17.403203486882198</v>
      </c>
      <c r="BL331" s="60">
        <f t="shared" si="312"/>
        <v>19.493547764264196</v>
      </c>
      <c r="BN331">
        <f t="shared" si="313"/>
        <v>0</v>
      </c>
      <c r="BO331">
        <f t="shared" si="314"/>
        <v>0</v>
      </c>
    </row>
    <row r="332" spans="13:67" x14ac:dyDescent="0.25">
      <c r="M332" s="66">
        <v>14</v>
      </c>
      <c r="N332" s="36">
        <f t="shared" si="316"/>
        <v>13803.842646028841</v>
      </c>
      <c r="O332" s="91" t="str">
        <f t="shared" si="263"/>
        <v>13,7404580152672</v>
      </c>
      <c r="P332" s="67" t="str">
        <f t="shared" si="264"/>
        <v>1+93,6706693998392i</v>
      </c>
      <c r="Q332" s="67">
        <f t="shared" si="275"/>
        <v>93.67600709794354</v>
      </c>
      <c r="R332" s="67">
        <f t="shared" si="276"/>
        <v>1.5601210319687602</v>
      </c>
      <c r="S332" s="67" t="str">
        <f t="shared" si="265"/>
        <v>1+2,60196303888442i</v>
      </c>
      <c r="T332" s="67">
        <f t="shared" si="277"/>
        <v>2.7875099382281392</v>
      </c>
      <c r="U332" s="67">
        <f t="shared" si="278"/>
        <v>1.2038752956265328</v>
      </c>
      <c r="V332" t="str">
        <f t="shared" si="266"/>
        <v>1-0,542075633100921i</v>
      </c>
      <c r="W332" s="67">
        <f t="shared" si="279"/>
        <v>1.137473512659422</v>
      </c>
      <c r="X332" s="67">
        <f t="shared" si="280"/>
        <v>-0.4967388934311866</v>
      </c>
      <c r="Y332" t="str">
        <f t="shared" si="267"/>
        <v>0,987805051405035+0,940590879705293i</v>
      </c>
      <c r="Z332" s="67">
        <f t="shared" si="281"/>
        <v>1.3639904774469946</v>
      </c>
      <c r="AA332" s="67">
        <f t="shared" si="282"/>
        <v>0.76091940353016807</v>
      </c>
      <c r="AB332" s="92" t="str">
        <f t="shared" si="283"/>
        <v>-0,014693985934091-0,34065563159221i</v>
      </c>
      <c r="AC332" s="37">
        <f t="shared" si="284"/>
        <v>-9.3456156576646361</v>
      </c>
      <c r="AD332" s="60">
        <f t="shared" si="285"/>
        <v>-92.469889647436375</v>
      </c>
      <c r="AE332" t="str">
        <f t="shared" si="286"/>
        <v>21,0353732052265</v>
      </c>
      <c r="AF332" t="str">
        <f t="shared" si="268"/>
        <v>1+46,8353346999196i</v>
      </c>
      <c r="AG332">
        <f t="shared" si="287"/>
        <v>46.846009183851429</v>
      </c>
      <c r="AH332">
        <f t="shared" si="288"/>
        <v>1.5494481697423812</v>
      </c>
      <c r="AI332" t="str">
        <f t="shared" si="269"/>
        <v>1+2,60196303888442i</v>
      </c>
      <c r="AJ332">
        <f t="shared" si="289"/>
        <v>2.7875099382281392</v>
      </c>
      <c r="AK332">
        <f t="shared" si="290"/>
        <v>1.2038752956265328</v>
      </c>
      <c r="AL332" t="str">
        <f t="shared" si="270"/>
        <v>1-0,177041160412454i</v>
      </c>
      <c r="AM332">
        <f t="shared" si="291"/>
        <v>1.0155508714388404</v>
      </c>
      <c r="AN332">
        <f t="shared" si="292"/>
        <v>-0.1752254850558978</v>
      </c>
      <c r="AO332" s="58" t="str">
        <f t="shared" si="293"/>
        <v>1,10262102652986-0,63248811751802i</v>
      </c>
      <c r="AP332">
        <f t="shared" si="294"/>
        <v>2.0839145994836681</v>
      </c>
      <c r="AQ332" s="60">
        <f t="shared" si="295"/>
        <v>-29.839547957879329</v>
      </c>
      <c r="AR332" t="str">
        <f t="shared" si="271"/>
        <v>-1,05811623246493</v>
      </c>
      <c r="AS332" t="str">
        <f t="shared" si="272"/>
        <v>1+2,56449477112449i</v>
      </c>
      <c r="AT332">
        <f t="shared" si="296"/>
        <v>2.7525685152462329</v>
      </c>
      <c r="AU332">
        <f t="shared" si="297"/>
        <v>1.198992025161284</v>
      </c>
      <c r="AV332" t="str">
        <f t="shared" si="273"/>
        <v>1+2,56449477112449i</v>
      </c>
      <c r="AW332">
        <f t="shared" si="298"/>
        <v>2.7525685152462329</v>
      </c>
      <c r="AX332">
        <f t="shared" si="299"/>
        <v>1.198992025161284</v>
      </c>
      <c r="AY332" t="str">
        <f t="shared" si="274"/>
        <v>1-0,00992575447653733i</v>
      </c>
      <c r="AZ332">
        <f t="shared" si="300"/>
        <v>1.0000492590877355</v>
      </c>
      <c r="BA332">
        <f t="shared" si="301"/>
        <v>-9.9254285320359223E-3</v>
      </c>
      <c r="BB332" s="58" t="str">
        <f t="shared" si="302"/>
        <v>-0,136100337188461+0,359531204999174i</v>
      </c>
      <c r="BC332">
        <f t="shared" si="303"/>
        <v>-8.3036673727304251</v>
      </c>
      <c r="BD332" s="60">
        <f t="shared" si="304"/>
        <v>110.73413212367062</v>
      </c>
      <c r="BE332" s="58" t="str">
        <f t="shared" si="305"/>
        <v>0,124476186156374+0,0410803998557233i</v>
      </c>
      <c r="BF332" s="37">
        <f t="shared" si="306"/>
        <v>-17.649283030395075</v>
      </c>
      <c r="BG332" s="60">
        <f t="shared" si="307"/>
        <v>18.264242476234291</v>
      </c>
      <c r="BH332" s="58" t="str">
        <f t="shared" si="308"/>
        <v>0,077332121537112+0,482508512387604i</v>
      </c>
      <c r="BI332" s="37">
        <f t="shared" si="309"/>
        <v>-6.2197527732467606</v>
      </c>
      <c r="BJ332" s="60">
        <f t="shared" si="310"/>
        <v>80.894584165791287</v>
      </c>
      <c r="BK332">
        <f t="shared" si="311"/>
        <v>-17.649283030395075</v>
      </c>
      <c r="BL332" s="60">
        <f t="shared" si="312"/>
        <v>18.264242476234291</v>
      </c>
      <c r="BN332">
        <f t="shared" si="313"/>
        <v>0</v>
      </c>
      <c r="BO332">
        <f t="shared" si="314"/>
        <v>0</v>
      </c>
    </row>
    <row r="333" spans="13:67" x14ac:dyDescent="0.25">
      <c r="M333" s="66">
        <v>15</v>
      </c>
      <c r="N333" s="36">
        <f t="shared" si="316"/>
        <v>14125.375446227561</v>
      </c>
      <c r="O333" s="91" t="str">
        <f t="shared" si="263"/>
        <v>13,7404580152672</v>
      </c>
      <c r="P333" s="67" t="str">
        <f t="shared" si="264"/>
        <v>1+95,8525395791029i</v>
      </c>
      <c r="Q333" s="67">
        <f t="shared" si="275"/>
        <v>95.857755783053292</v>
      </c>
      <c r="R333" s="67">
        <f t="shared" si="276"/>
        <v>1.5603640135102663</v>
      </c>
      <c r="S333" s="67" t="str">
        <f t="shared" si="265"/>
        <v>1+2,66257054386397i</v>
      </c>
      <c r="T333" s="67">
        <f t="shared" si="277"/>
        <v>2.8441662927916287</v>
      </c>
      <c r="U333" s="67">
        <f t="shared" si="278"/>
        <v>1.2115199741383846</v>
      </c>
      <c r="V333" t="str">
        <f t="shared" si="266"/>
        <v>1-0,554702196638327i</v>
      </c>
      <c r="W333" s="67">
        <f t="shared" si="279"/>
        <v>1.1435447201379512</v>
      </c>
      <c r="X333" s="67">
        <f t="shared" si="280"/>
        <v>-0.50644617313986551</v>
      </c>
      <c r="Y333" t="str">
        <f t="shared" si="267"/>
        <v>0,987230321184199+0,962500055805618i</v>
      </c>
      <c r="Z333" s="67">
        <f t="shared" si="281"/>
        <v>1.378778468243276</v>
      </c>
      <c r="AA333" s="67">
        <f t="shared" si="282"/>
        <v>0.77271490237979701</v>
      </c>
      <c r="AB333" s="92" t="str">
        <f t="shared" si="283"/>
        <v>-0,0193336309124623-0,337579853660197i</v>
      </c>
      <c r="AC333" s="37">
        <f t="shared" si="284"/>
        <v>-9.4182480412411138</v>
      </c>
      <c r="AD333" s="60">
        <f t="shared" si="285"/>
        <v>-93.27782210899619</v>
      </c>
      <c r="AE333" t="str">
        <f t="shared" si="286"/>
        <v>21,0353732052265</v>
      </c>
      <c r="AF333" t="str">
        <f t="shared" si="268"/>
        <v>1+47,9262697895515i</v>
      </c>
      <c r="AG333">
        <f t="shared" si="287"/>
        <v>47.936701346055052</v>
      </c>
      <c r="AH333">
        <f t="shared" si="288"/>
        <v>1.5499339704947461</v>
      </c>
      <c r="AI333" t="str">
        <f t="shared" si="269"/>
        <v>1+2,66257054386397i</v>
      </c>
      <c r="AJ333">
        <f t="shared" si="289"/>
        <v>2.8441662927916287</v>
      </c>
      <c r="AK333">
        <f t="shared" si="290"/>
        <v>1.2115199741383846</v>
      </c>
      <c r="AL333" t="str">
        <f t="shared" si="270"/>
        <v>1-0,181164978795317i</v>
      </c>
      <c r="AM333">
        <f t="shared" si="291"/>
        <v>1.0162778899208167</v>
      </c>
      <c r="AN333">
        <f t="shared" si="292"/>
        <v>-0.17922112665065348</v>
      </c>
      <c r="AO333" s="58" t="str">
        <f t="shared" si="293"/>
        <v>1,10221222262464-0,627628212104522i</v>
      </c>
      <c r="AP333">
        <f t="shared" si="294"/>
        <v>2.0649907634785745</v>
      </c>
      <c r="AQ333" s="60">
        <f t="shared" si="295"/>
        <v>-29.658307876037092</v>
      </c>
      <c r="AR333" t="str">
        <f t="shared" si="271"/>
        <v>-1,05811623246493</v>
      </c>
      <c r="AS333" t="str">
        <f t="shared" si="272"/>
        <v>1+2,62422952803233i</v>
      </c>
      <c r="AT333">
        <f t="shared" si="296"/>
        <v>2.8083056485711779</v>
      </c>
      <c r="AU333">
        <f t="shared" si="297"/>
        <v>1.2067197012793498</v>
      </c>
      <c r="AV333" t="str">
        <f t="shared" si="273"/>
        <v>1+2,62422952803233i</v>
      </c>
      <c r="AW333">
        <f t="shared" si="298"/>
        <v>2.8083056485711779</v>
      </c>
      <c r="AX333">
        <f t="shared" si="299"/>
        <v>1.2067197012793498</v>
      </c>
      <c r="AY333" t="str">
        <f t="shared" si="274"/>
        <v>1-0,00969981672054102i</v>
      </c>
      <c r="AZ333">
        <f t="shared" si="300"/>
        <v>1.0000470421157257</v>
      </c>
      <c r="BA333">
        <f t="shared" si="301"/>
        <v>-9.6995125306240278E-3</v>
      </c>
      <c r="BB333" s="58" t="str">
        <f t="shared" si="302"/>
        <v>-0,130751515132427+0,35338552036942i</v>
      </c>
      <c r="BC333">
        <f t="shared" si="303"/>
        <v>-8.4778113386724794</v>
      </c>
      <c r="BD333" s="60">
        <f t="shared" si="304"/>
        <v>110.3043129300668</v>
      </c>
      <c r="BE333" s="58" t="str">
        <f t="shared" si="305"/>
        <v>0,121823733786757+0,0373068521236229i</v>
      </c>
      <c r="BF333" s="37">
        <f t="shared" si="306"/>
        <v>-17.896059379913588</v>
      </c>
      <c r="BG333" s="60">
        <f t="shared" si="307"/>
        <v>17.026490821070603</v>
      </c>
      <c r="BH333" s="58" t="str">
        <f t="shared" si="308"/>
        <v>0,0776788042274336+0,471569179522266i</v>
      </c>
      <c r="BI333" s="37">
        <f t="shared" si="309"/>
        <v>-6.4128205751939031</v>
      </c>
      <c r="BJ333" s="60">
        <f t="shared" si="310"/>
        <v>80.646005054029729</v>
      </c>
      <c r="BK333">
        <f t="shared" si="311"/>
        <v>-17.896059379913588</v>
      </c>
      <c r="BL333" s="60">
        <f t="shared" si="312"/>
        <v>17.026490821070603</v>
      </c>
      <c r="BN333">
        <f t="shared" si="313"/>
        <v>0</v>
      </c>
      <c r="BO333">
        <f t="shared" si="314"/>
        <v>0</v>
      </c>
    </row>
    <row r="334" spans="13:67" x14ac:dyDescent="0.25">
      <c r="M334" s="66">
        <v>16</v>
      </c>
      <c r="N334" s="36">
        <f t="shared" si="316"/>
        <v>14454.397707459291</v>
      </c>
      <c r="O334" s="91" t="str">
        <f t="shared" si="263"/>
        <v>13,7404580152672</v>
      </c>
      <c r="P334" s="67" t="str">
        <f t="shared" si="264"/>
        <v>1+98,0852320436096i</v>
      </c>
      <c r="Q334" s="67">
        <f t="shared" si="275"/>
        <v>98.090329518504191</v>
      </c>
      <c r="R334" s="67">
        <f t="shared" si="276"/>
        <v>1.5606014653069977</v>
      </c>
      <c r="S334" s="67" t="str">
        <f t="shared" si="265"/>
        <v>1+2,72458977898916i</v>
      </c>
      <c r="T334" s="67">
        <f t="shared" si="277"/>
        <v>2.9023076101220218</v>
      </c>
      <c r="U334" s="67">
        <f t="shared" si="278"/>
        <v>1.219033297249241</v>
      </c>
      <c r="V334" t="str">
        <f t="shared" si="266"/>
        <v>1-0,567622870622741i</v>
      </c>
      <c r="W334" s="67">
        <f t="shared" si="279"/>
        <v>1.1498676981522704</v>
      </c>
      <c r="X334" s="67">
        <f t="shared" si="280"/>
        <v>-0.5162724982830923</v>
      </c>
      <c r="Y334" t="str">
        <f t="shared" si="267"/>
        <v>0,986628504762534+0,984919562175723i</v>
      </c>
      <c r="Z334" s="67">
        <f t="shared" si="281"/>
        <v>1.3940955312912997</v>
      </c>
      <c r="AA334" s="67">
        <f t="shared" si="282"/>
        <v>0.78453136121926825</v>
      </c>
      <c r="AB334" s="92" t="str">
        <f t="shared" si="283"/>
        <v>-0,0239810679635458-0,334472473151762i</v>
      </c>
      <c r="AC334" s="37">
        <f t="shared" si="284"/>
        <v>-9.4905240898119345</v>
      </c>
      <c r="AD334" s="60">
        <f t="shared" si="285"/>
        <v>-94.100985569538409</v>
      </c>
      <c r="AE334" t="str">
        <f t="shared" si="286"/>
        <v>21,0353732052265</v>
      </c>
      <c r="AF334" t="str">
        <f t="shared" si="268"/>
        <v>1+49,0426160218048i</v>
      </c>
      <c r="AG334">
        <f t="shared" si="287"/>
        <v>49.052810177014166</v>
      </c>
      <c r="AH334">
        <f t="shared" si="288"/>
        <v>1.5504087225886369</v>
      </c>
      <c r="AI334" t="str">
        <f t="shared" si="269"/>
        <v>1+2,72458977898916i</v>
      </c>
      <c r="AJ334">
        <f t="shared" si="289"/>
        <v>2.9023076101220218</v>
      </c>
      <c r="AK334">
        <f t="shared" si="290"/>
        <v>1.219033297249241</v>
      </c>
      <c r="AL334" t="str">
        <f t="shared" si="270"/>
        <v>1-0,185384853247939i</v>
      </c>
      <c r="AM334">
        <f t="shared" si="291"/>
        <v>1.0170386147112409</v>
      </c>
      <c r="AN334">
        <f t="shared" si="292"/>
        <v>-0.18330385812785091</v>
      </c>
      <c r="AO334" s="58" t="str">
        <f t="shared" si="293"/>
        <v>1,10182180227234-0,623100315779356i</v>
      </c>
      <c r="AP334">
        <f t="shared" si="294"/>
        <v>2.0473442395376278</v>
      </c>
      <c r="AQ334" s="60">
        <f t="shared" si="295"/>
        <v>-29.488950745490627</v>
      </c>
      <c r="AR334" t="str">
        <f t="shared" si="271"/>
        <v>-1,05811623246493</v>
      </c>
      <c r="AS334" t="str">
        <f t="shared" si="272"/>
        <v>1+2,68535568617171i</v>
      </c>
      <c r="AT334">
        <f t="shared" si="296"/>
        <v>2.8655078365369611</v>
      </c>
      <c r="AU334">
        <f t="shared" si="297"/>
        <v>1.2143157073490127</v>
      </c>
      <c r="AV334" t="str">
        <f t="shared" si="273"/>
        <v>1+2,68535568617171i</v>
      </c>
      <c r="AW334">
        <f t="shared" si="298"/>
        <v>2.8655078365369611</v>
      </c>
      <c r="AX334">
        <f t="shared" si="299"/>
        <v>1.2143157073490127</v>
      </c>
      <c r="AY334" t="str">
        <f t="shared" si="274"/>
        <v>1-0,00947902193576221i</v>
      </c>
      <c r="AZ334">
        <f t="shared" si="300"/>
        <v>1.0000449249193051</v>
      </c>
      <c r="BA334">
        <f t="shared" si="301"/>
        <v>-9.4787380484926877E-3</v>
      </c>
      <c r="BB334" s="58" t="str">
        <f t="shared" si="302"/>
        <v>-0,125583411364999+0,347266034775962i</v>
      </c>
      <c r="BC334">
        <f t="shared" si="303"/>
        <v>-8.6529742675808734</v>
      </c>
      <c r="BD334" s="60">
        <f t="shared" si="304"/>
        <v>109.88174328716967</v>
      </c>
      <c r="BE334" s="58" t="str">
        <f t="shared" si="305"/>
        <v>0,11916255381616+0,0336763838046929i</v>
      </c>
      <c r="BF334" s="37">
        <f t="shared" si="306"/>
        <v>-18.143498357392794</v>
      </c>
      <c r="BG334" s="60">
        <f t="shared" si="307"/>
        <v>15.780757717631236</v>
      </c>
      <c r="BH334" s="58" t="str">
        <f t="shared" si="308"/>
        <v>0,0780110352826549+0,460876351582999i</v>
      </c>
      <c r="BI334" s="37">
        <f t="shared" si="309"/>
        <v>-6.6056300280432501</v>
      </c>
      <c r="BJ334" s="60">
        <f t="shared" si="310"/>
        <v>80.392792541679043</v>
      </c>
      <c r="BK334">
        <f t="shared" si="311"/>
        <v>-18.143498357392794</v>
      </c>
      <c r="BL334" s="60">
        <f t="shared" si="312"/>
        <v>15.780757717631236</v>
      </c>
      <c r="BN334">
        <f t="shared" si="313"/>
        <v>0</v>
      </c>
      <c r="BO334">
        <f t="shared" si="314"/>
        <v>0</v>
      </c>
    </row>
    <row r="335" spans="13:67" x14ac:dyDescent="0.25">
      <c r="M335" s="66">
        <v>17</v>
      </c>
      <c r="N335" s="36">
        <f t="shared" si="316"/>
        <v>14791.083881682089</v>
      </c>
      <c r="O335" s="91" t="str">
        <f t="shared" si="263"/>
        <v>13,7404580152672</v>
      </c>
      <c r="P335" s="67" t="str">
        <f t="shared" si="264"/>
        <v>1+100,369930596457i</v>
      </c>
      <c r="Q335" s="67">
        <f t="shared" si="275"/>
        <v>100.37491204448247</v>
      </c>
      <c r="R335" s="67">
        <f t="shared" si="276"/>
        <v>1.5608335131518718</v>
      </c>
      <c r="S335" s="67" t="str">
        <f t="shared" si="265"/>
        <v>1+2,78805362767937i</v>
      </c>
      <c r="T335" s="67">
        <f t="shared" si="277"/>
        <v>2.9619660752304533</v>
      </c>
      <c r="U335" s="67">
        <f t="shared" si="278"/>
        <v>1.2264158546132706</v>
      </c>
      <c r="V335" t="str">
        <f t="shared" si="266"/>
        <v>1-0,580844505766536i</v>
      </c>
      <c r="W335" s="67">
        <f t="shared" si="279"/>
        <v>1.1564516158833329</v>
      </c>
      <c r="X335" s="67">
        <f t="shared" si="280"/>
        <v>-0.52621548783619254</v>
      </c>
      <c r="Y335" t="str">
        <f t="shared" si="267"/>
        <v>0,985998325606723+1,00786128593465i</v>
      </c>
      <c r="Z335" s="67">
        <f t="shared" si="281"/>
        <v>1.4099564070513342</v>
      </c>
      <c r="AA335" s="67">
        <f t="shared" si="282"/>
        <v>0.7963628692563085</v>
      </c>
      <c r="AB335" s="92" t="str">
        <f t="shared" si="283"/>
        <v>-0,0286316007340671-0,331331253605599i</v>
      </c>
      <c r="AC335" s="37">
        <f t="shared" si="284"/>
        <v>-9.5624421265112236</v>
      </c>
      <c r="AD335" s="60">
        <f t="shared" si="285"/>
        <v>-94.93887836565554</v>
      </c>
      <c r="AE335" t="str">
        <f t="shared" si="286"/>
        <v>21,0353732052265</v>
      </c>
      <c r="AF335" t="str">
        <f t="shared" si="268"/>
        <v>1+50,1849652982287i</v>
      </c>
      <c r="AG335">
        <f t="shared" si="287"/>
        <v>50.194927452725928</v>
      </c>
      <c r="AH335">
        <f t="shared" si="288"/>
        <v>1.550872676887374</v>
      </c>
      <c r="AI335" t="str">
        <f t="shared" si="269"/>
        <v>1+2,78805362767937i</v>
      </c>
      <c r="AJ335">
        <f t="shared" si="289"/>
        <v>2.9619660752304533</v>
      </c>
      <c r="AK335">
        <f t="shared" si="290"/>
        <v>1.2264158546132706</v>
      </c>
      <c r="AL335" t="str">
        <f t="shared" si="270"/>
        <v>1-0,189703021203612i</v>
      </c>
      <c r="AM335">
        <f t="shared" si="291"/>
        <v>1.0178345819698691</v>
      </c>
      <c r="AN335">
        <f t="shared" si="292"/>
        <v>-0.18747529950790881</v>
      </c>
      <c r="AO335" s="58" t="str">
        <f t="shared" si="293"/>
        <v>1,1014489394533-0,618902078990318i</v>
      </c>
      <c r="AP335">
        <f t="shared" si="294"/>
        <v>2.0309534626070578</v>
      </c>
      <c r="AQ335" s="60">
        <f t="shared" si="295"/>
        <v>-29.331549975286496</v>
      </c>
      <c r="AR335" t="str">
        <f t="shared" si="271"/>
        <v>-1,05811623246493</v>
      </c>
      <c r="AS335" t="str">
        <f t="shared" si="272"/>
        <v>1+2,74790565544079i</v>
      </c>
      <c r="AT335">
        <f t="shared" si="296"/>
        <v>2.9242068140272632</v>
      </c>
      <c r="AU335">
        <f t="shared" si="297"/>
        <v>1.2217805635966776</v>
      </c>
      <c r="AV335" t="str">
        <f t="shared" si="273"/>
        <v>1+2,74790565544079i</v>
      </c>
      <c r="AW335">
        <f t="shared" si="298"/>
        <v>2.9242068140272632</v>
      </c>
      <c r="AX335">
        <f t="shared" si="299"/>
        <v>1.2217805635966776</v>
      </c>
      <c r="AY335" t="str">
        <f t="shared" si="274"/>
        <v>1-0,00926325305388343i</v>
      </c>
      <c r="AZ335">
        <f t="shared" si="300"/>
        <v>1.0000429030082361</v>
      </c>
      <c r="BA335">
        <f t="shared" si="301"/>
        <v>-9.262988114225405E-3</v>
      </c>
      <c r="BB335" s="58" t="str">
        <f t="shared" si="302"/>
        <v>-0,120592224813181+0,341177654988072i</v>
      </c>
      <c r="BC335">
        <f t="shared" si="303"/>
        <v>-8.8291215144919502</v>
      </c>
      <c r="BD335" s="60">
        <f t="shared" si="304"/>
        <v>109.46640009017031</v>
      </c>
      <c r="BE335" s="58" t="str">
        <f t="shared" si="305"/>
        <v>0,1164955685619+0,0301875106254357i</v>
      </c>
      <c r="BF335" s="37">
        <f t="shared" si="306"/>
        <v>-18.391563641003195</v>
      </c>
      <c r="BG335" s="60">
        <f t="shared" si="307"/>
        <v>14.527521724514809</v>
      </c>
      <c r="BH335" s="58" t="str">
        <f t="shared" si="308"/>
        <v>0,0783293818503671+0,450424544898721i</v>
      </c>
      <c r="BI335" s="37">
        <f t="shared" si="309"/>
        <v>-6.7981680518848995</v>
      </c>
      <c r="BJ335" s="60">
        <f t="shared" si="310"/>
        <v>80.134850114883818</v>
      </c>
      <c r="BK335">
        <f t="shared" si="311"/>
        <v>-18.391563641003195</v>
      </c>
      <c r="BL335" s="60">
        <f t="shared" si="312"/>
        <v>14.527521724514809</v>
      </c>
      <c r="BN335">
        <f t="shared" si="313"/>
        <v>0</v>
      </c>
      <c r="BO335">
        <f t="shared" si="314"/>
        <v>0</v>
      </c>
    </row>
    <row r="336" spans="13:67" x14ac:dyDescent="0.25">
      <c r="M336" s="66">
        <v>18</v>
      </c>
      <c r="N336" s="36">
        <f t="shared" si="316"/>
        <v>15135.612484362096</v>
      </c>
      <c r="O336" s="91" t="str">
        <f t="shared" si="263"/>
        <v>13,7404580152672</v>
      </c>
      <c r="P336" s="67" t="str">
        <f t="shared" si="264"/>
        <v>1+102,70784661506i</v>
      </c>
      <c r="Q336" s="67">
        <f t="shared" si="275"/>
        <v>102.71271467692155</v>
      </c>
      <c r="R336" s="67">
        <f t="shared" si="276"/>
        <v>1.5610602799797111</v>
      </c>
      <c r="S336" s="67" t="str">
        <f t="shared" si="265"/>
        <v>1+2,85299573930724i</v>
      </c>
      <c r="T336" s="67">
        <f t="shared" si="277"/>
        <v>3.0231746043695957</v>
      </c>
      <c r="U336" s="67">
        <f t="shared" si="278"/>
        <v>1.2336683406663926</v>
      </c>
      <c r="V336" t="str">
        <f t="shared" si="266"/>
        <v>1-0,594374112355674i</v>
      </c>
      <c r="W336" s="67">
        <f t="shared" si="279"/>
        <v>1.1633058864454333</v>
      </c>
      <c r="X336" s="67">
        <f t="shared" si="280"/>
        <v>-0.53627254912118461</v>
      </c>
      <c r="Y336" t="str">
        <f t="shared" si="267"/>
        <v>0,985338447022286+1,03133739108799i</v>
      </c>
      <c r="Z336" s="67">
        <f t="shared" si="281"/>
        <v>1.4263760617160088</v>
      </c>
      <c r="AA336" s="67">
        <f t="shared" si="282"/>
        <v>0.80820349903544464</v>
      </c>
      <c r="AB336" s="92" t="str">
        <f t="shared" si="283"/>
        <v>-0,0332805001910266-0,328154274714558i</v>
      </c>
      <c r="AC336" s="37">
        <f t="shared" si="284"/>
        <v>-9.6339976699805057</v>
      </c>
      <c r="AD336" s="60">
        <f t="shared" si="285"/>
        <v>-95.790979585058835</v>
      </c>
      <c r="AE336" t="str">
        <f t="shared" si="286"/>
        <v>21,0353732052265</v>
      </c>
      <c r="AF336" t="str">
        <f t="shared" si="268"/>
        <v>1+51,3539233075303i</v>
      </c>
      <c r="AG336">
        <f t="shared" si="287"/>
        <v>51.363658739187414</v>
      </c>
      <c r="AH336">
        <f t="shared" si="288"/>
        <v>1.5513260785862666</v>
      </c>
      <c r="AI336" t="str">
        <f t="shared" si="269"/>
        <v>1+2,85299573930724i</v>
      </c>
      <c r="AJ336">
        <f t="shared" si="289"/>
        <v>3.0231746043695957</v>
      </c>
      <c r="AK336">
        <f t="shared" si="290"/>
        <v>1.2336683406663926</v>
      </c>
      <c r="AL336" t="str">
        <f t="shared" si="270"/>
        <v>1-0,194121772212144i</v>
      </c>
      <c r="AM336">
        <f t="shared" si="291"/>
        <v>1.0186673953979206</v>
      </c>
      <c r="AN336">
        <f t="shared" si="292"/>
        <v>-0.19173708156576927</v>
      </c>
      <c r="AO336" s="58" t="str">
        <f t="shared" si="293"/>
        <v>1,10109284520385-0,615031323562375i</v>
      </c>
      <c r="AP336">
        <f t="shared" si="294"/>
        <v>2.0157981262314131</v>
      </c>
      <c r="AQ336" s="60">
        <f t="shared" si="295"/>
        <v>-29.186173262355819</v>
      </c>
      <c r="AR336" t="str">
        <f t="shared" si="271"/>
        <v>-1,05811623246493</v>
      </c>
      <c r="AS336" t="str">
        <f t="shared" si="272"/>
        <v>1+2,81191260066121i</v>
      </c>
      <c r="AT336">
        <f t="shared" si="296"/>
        <v>2.9844350342665007</v>
      </c>
      <c r="AU336">
        <f t="shared" si="297"/>
        <v>1.2291148992259797</v>
      </c>
      <c r="AV336" t="str">
        <f t="shared" si="273"/>
        <v>1+2,81191260066121i</v>
      </c>
      <c r="AW336">
        <f t="shared" si="298"/>
        <v>2.9844350342665007</v>
      </c>
      <c r="AX336">
        <f t="shared" si="299"/>
        <v>1.2291148992259797</v>
      </c>
      <c r="AY336" t="str">
        <f t="shared" si="274"/>
        <v>1-0,00905239567138748i</v>
      </c>
      <c r="AZ336">
        <f t="shared" si="300"/>
        <v>1.0000409720943393</v>
      </c>
      <c r="BA336">
        <f t="shared" si="301"/>
        <v>-9.0521484147392754E-3</v>
      </c>
      <c r="BB336" s="58" t="str">
        <f t="shared" si="302"/>
        <v>-0,115774047876922+0,335124990857262i</v>
      </c>
      <c r="BC336">
        <f t="shared" si="303"/>
        <v>-9.0062191805527618</v>
      </c>
      <c r="BD336" s="60">
        <f t="shared" si="304"/>
        <v>109.05825383801323</v>
      </c>
      <c r="BE336" s="58" t="str">
        <f t="shared" si="305"/>
        <v>0,113825716535972+0,026838621389577i</v>
      </c>
      <c r="BF336" s="37">
        <f t="shared" si="306"/>
        <v>-18.640216850533232</v>
      </c>
      <c r="BG336" s="60">
        <f t="shared" si="307"/>
        <v>13.267274252954374</v>
      </c>
      <c r="BH336" s="58" t="str">
        <f t="shared" si="308"/>
        <v>0,0786343909082039+0,440208395581854i</v>
      </c>
      <c r="BI336" s="37">
        <f t="shared" si="309"/>
        <v>-6.9904210543213487</v>
      </c>
      <c r="BJ336" s="60">
        <f t="shared" si="310"/>
        <v>79.872080575657421</v>
      </c>
      <c r="BK336">
        <f t="shared" si="311"/>
        <v>-18.640216850533232</v>
      </c>
      <c r="BL336" s="60">
        <f t="shared" si="312"/>
        <v>13.267274252954374</v>
      </c>
      <c r="BN336">
        <f t="shared" si="313"/>
        <v>0</v>
      </c>
      <c r="BO336">
        <f t="shared" si="314"/>
        <v>0</v>
      </c>
    </row>
    <row r="337" spans="13:67" x14ac:dyDescent="0.25">
      <c r="M337" s="66">
        <v>19</v>
      </c>
      <c r="N337" s="36">
        <f t="shared" si="316"/>
        <v>15488.166189124853</v>
      </c>
      <c r="O337" s="91" t="str">
        <f t="shared" si="263"/>
        <v>13,7404580152672</v>
      </c>
      <c r="P337" s="67" t="str">
        <f t="shared" si="264"/>
        <v>1+105,100219693438i</v>
      </c>
      <c r="Q337" s="67">
        <f t="shared" si="275"/>
        <v>105.10497694975693</v>
      </c>
      <c r="R337" s="67">
        <f t="shared" si="276"/>
        <v>1.5612818859319468</v>
      </c>
      <c r="S337" s="67" t="str">
        <f t="shared" si="265"/>
        <v>1+2,91945054703995i</v>
      </c>
      <c r="T337" s="67">
        <f t="shared" si="277"/>
        <v>3.0859668657670101</v>
      </c>
      <c r="U337" s="67">
        <f t="shared" si="278"/>
        <v>1.2407915480603384</v>
      </c>
      <c r="V337" t="str">
        <f t="shared" si="266"/>
        <v>1-0,608218863966656i</v>
      </c>
      <c r="W337" s="67">
        <f t="shared" si="279"/>
        <v>1.1704401678363954</v>
      </c>
      <c r="X337" s="67">
        <f t="shared" si="280"/>
        <v>-0.54644087623681703</v>
      </c>
      <c r="Y337" t="str">
        <f t="shared" si="267"/>
        <v>0,984647469318275+1,05536032497746i</v>
      </c>
      <c r="Z337" s="67">
        <f t="shared" si="281"/>
        <v>1.4433696873536637</v>
      </c>
      <c r="AA337" s="67">
        <f t="shared" si="282"/>
        <v>0.82004732265544744</v>
      </c>
      <c r="AB337" s="92" t="str">
        <f t="shared" si="283"/>
        <v>-0,0379230254508898-0,32493993283511i</v>
      </c>
      <c r="AC337" s="37">
        <f t="shared" si="284"/>
        <v>-9.7051835144340544</v>
      </c>
      <c r="AD337" s="60">
        <f t="shared" si="285"/>
        <v>-96.656750285725096</v>
      </c>
      <c r="AE337" t="str">
        <f t="shared" si="286"/>
        <v>21,0353732052265</v>
      </c>
      <c r="AF337" t="str">
        <f t="shared" si="268"/>
        <v>1+52,5501098467191i</v>
      </c>
      <c r="AG337">
        <f t="shared" si="287"/>
        <v>52.559623713476526</v>
      </c>
      <c r="AH337">
        <f t="shared" si="288"/>
        <v>1.5517691673388119</v>
      </c>
      <c r="AI337" t="str">
        <f t="shared" si="269"/>
        <v>1+2,91945054703995i</v>
      </c>
      <c r="AJ337">
        <f t="shared" si="289"/>
        <v>3.0859668657670101</v>
      </c>
      <c r="AK337">
        <f t="shared" si="290"/>
        <v>1.2407915480603384</v>
      </c>
      <c r="AL337" t="str">
        <f t="shared" si="270"/>
        <v>1-0,198643449153808i</v>
      </c>
      <c r="AM337">
        <f t="shared" si="291"/>
        <v>1.0195387289807687</v>
      </c>
      <c r="AN337">
        <f t="shared" si="292"/>
        <v>-0.19609084440852026</v>
      </c>
      <c r="AO337" s="58" t="str">
        <f t="shared" si="293"/>
        <v>1,10075276595917-0,611486041770026i</v>
      </c>
      <c r="AP337">
        <f t="shared" si="294"/>
        <v>2.0018592162038398</v>
      </c>
      <c r="AQ337" s="60">
        <f t="shared" si="295"/>
        <v>-29.052882893447354</v>
      </c>
      <c r="AR337" t="str">
        <f t="shared" si="271"/>
        <v>-1,05811623246493</v>
      </c>
      <c r="AS337" t="str">
        <f t="shared" si="272"/>
        <v>1+2,87741045916257i</v>
      </c>
      <c r="AT337">
        <f t="shared" si="296"/>
        <v>3.0462256893569379</v>
      </c>
      <c r="AU337">
        <f t="shared" si="297"/>
        <v>1.2363194457781579</v>
      </c>
      <c r="AV337" t="str">
        <f t="shared" si="273"/>
        <v>1+2,87741045916257i</v>
      </c>
      <c r="AW337">
        <f t="shared" si="298"/>
        <v>3.0462256893569379</v>
      </c>
      <c r="AX337">
        <f t="shared" si="299"/>
        <v>1.2363194457781579</v>
      </c>
      <c r="AY337" t="str">
        <f t="shared" si="274"/>
        <v>1-0,00884633798889909i</v>
      </c>
      <c r="AZ337">
        <f t="shared" si="300"/>
        <v>1.0000391280824035</v>
      </c>
      <c r="BA337">
        <f t="shared" si="301"/>
        <v>-8.8461072350581507E-3</v>
      </c>
      <c r="BB337" s="58" t="str">
        <f t="shared" si="302"/>
        <v>-0,111124884999656+0,329112360195174i</v>
      </c>
      <c r="BC337">
        <f t="shared" si="303"/>
        <v>-9.1842341319435903</v>
      </c>
      <c r="BD337" s="60">
        <f t="shared" si="304"/>
        <v>108.65726901726951</v>
      </c>
      <c r="BE337" s="58" t="str">
        <f t="shared" si="305"/>
        <v>0,111155940059094+0,0236279762562136i</v>
      </c>
      <c r="BF337" s="37">
        <f t="shared" si="306"/>
        <v>-18.889417646377609</v>
      </c>
      <c r="BG337" s="60">
        <f t="shared" si="307"/>
        <v>12.000518731544387</v>
      </c>
      <c r="BH337" s="58" t="str">
        <f t="shared" si="308"/>
        <v>0,078926589903072+0,430222656866777i</v>
      </c>
      <c r="BI337" s="37">
        <f t="shared" si="309"/>
        <v>-7.1823749157397572</v>
      </c>
      <c r="BJ337" s="60">
        <f t="shared" si="310"/>
        <v>79.604386123822152</v>
      </c>
      <c r="BK337">
        <f t="shared" si="311"/>
        <v>-18.889417646377609</v>
      </c>
      <c r="BL337" s="60">
        <f t="shared" si="312"/>
        <v>12.000518731544387</v>
      </c>
      <c r="BN337">
        <f t="shared" si="313"/>
        <v>0</v>
      </c>
      <c r="BO337">
        <f t="shared" si="314"/>
        <v>0</v>
      </c>
    </row>
    <row r="338" spans="13:67" x14ac:dyDescent="0.25">
      <c r="M338" s="66">
        <v>20</v>
      </c>
      <c r="N338" s="36">
        <f t="shared" si="316"/>
        <v>15848.931924611146</v>
      </c>
      <c r="O338" s="91" t="str">
        <f t="shared" si="263"/>
        <v>13,7404580152672</v>
      </c>
      <c r="P338" s="67" t="str">
        <f t="shared" si="264"/>
        <v>1+107,548318299463i</v>
      </c>
      <c r="Q338" s="67">
        <f t="shared" si="275"/>
        <v>107.55296727214275</v>
      </c>
      <c r="R338" s="67">
        <f t="shared" si="276"/>
        <v>1.5614984484198753</v>
      </c>
      <c r="S338" s="67" t="str">
        <f t="shared" si="265"/>
        <v>1+2,98745328609619i</v>
      </c>
      <c r="T338" s="67">
        <f t="shared" si="277"/>
        <v>3.1503773006747817</v>
      </c>
      <c r="U338" s="67">
        <f t="shared" si="278"/>
        <v>1.2477863612297395</v>
      </c>
      <c r="V338" t="str">
        <f t="shared" si="266"/>
        <v>1-0,622386101270039i</v>
      </c>
      <c r="W338" s="67">
        <f t="shared" si="279"/>
        <v>1.1778643636064889</v>
      </c>
      <c r="X338" s="67">
        <f t="shared" si="280"/>
        <v>-0.55671744925894018</v>
      </c>
      <c r="Y338" t="str">
        <f t="shared" si="267"/>
        <v>0,983923926838339+1,07994282488057i</v>
      </c>
      <c r="Z338" s="67">
        <f t="shared" si="281"/>
        <v>1.46095270245686</v>
      </c>
      <c r="AA338" s="67">
        <f t="shared" si="282"/>
        <v>0.83188842801701535</v>
      </c>
      <c r="AB338" s="92" t="str">
        <f t="shared" si="283"/>
        <v>-0,0425544446458352-0,321686939708816i</v>
      </c>
      <c r="AC338" s="37">
        <f t="shared" si="284"/>
        <v>-9.7759898264632898</v>
      </c>
      <c r="AD338" s="60">
        <f t="shared" si="285"/>
        <v>-97.5356347532081</v>
      </c>
      <c r="AE338" t="str">
        <f t="shared" si="286"/>
        <v>21,0353732052265</v>
      </c>
      <c r="AF338" t="str">
        <f t="shared" si="268"/>
        <v>1+53,7741591497314i</v>
      </c>
      <c r="AG338">
        <f t="shared" si="287"/>
        <v>53.78345649231408</v>
      </c>
      <c r="AH338">
        <f t="shared" si="288"/>
        <v>1.5522021773802077</v>
      </c>
      <c r="AI338" t="str">
        <f t="shared" si="269"/>
        <v>1+2,98745328609619i</v>
      </c>
      <c r="AJ338">
        <f t="shared" si="289"/>
        <v>3.1503773006747817</v>
      </c>
      <c r="AK338">
        <f t="shared" si="290"/>
        <v>1.2477863612297395</v>
      </c>
      <c r="AL338" t="str">
        <f t="shared" si="270"/>
        <v>1-0,203270449481569i</v>
      </c>
      <c r="AM338">
        <f t="shared" si="291"/>
        <v>1.0204503298213192</v>
      </c>
      <c r="AN338">
        <f t="shared" si="292"/>
        <v>-0.20053823592884365</v>
      </c>
      <c r="AO338" s="58" t="str">
        <f t="shared" si="293"/>
        <v>1,10042798196976-0,608264395484974i</v>
      </c>
      <c r="AP338">
        <f t="shared" si="294"/>
        <v>1.9891190410073769</v>
      </c>
      <c r="AQ338" s="60">
        <f t="shared" si="295"/>
        <v>-28.931736032173792</v>
      </c>
      <c r="AR338" t="str">
        <f t="shared" si="271"/>
        <v>-1,05811623246493</v>
      </c>
      <c r="AS338" t="str">
        <f t="shared" si="272"/>
        <v>1+2,9444339587764i</v>
      </c>
      <c r="AT338">
        <f t="shared" si="296"/>
        <v>3.1096127311283741</v>
      </c>
      <c r="AU338">
        <f t="shared" si="297"/>
        <v>1.2433950306131527</v>
      </c>
      <c r="AV338" t="str">
        <f t="shared" si="273"/>
        <v>1+2,9444339587764i</v>
      </c>
      <c r="AW338">
        <f t="shared" si="298"/>
        <v>3.1096127311283741</v>
      </c>
      <c r="AX338">
        <f t="shared" si="299"/>
        <v>1.2433950306131527</v>
      </c>
      <c r="AY338" t="str">
        <f t="shared" si="274"/>
        <v>1-0,00864497075190758i</v>
      </c>
      <c r="AZ338">
        <f t="shared" si="300"/>
        <v>1.0000373670615021</v>
      </c>
      <c r="BA338">
        <f t="shared" si="301"/>
        <v>-8.6447553994380213E-3</v>
      </c>
      <c r="BB338" s="58" t="str">
        <f t="shared" si="302"/>
        <v>-0,106640670185638+0,323143794563044i</v>
      </c>
      <c r="BC338">
        <f t="shared" si="303"/>
        <v>-9.3631340152965752</v>
      </c>
      <c r="BD338" s="60">
        <f t="shared" si="304"/>
        <v>108.26340447901586</v>
      </c>
      <c r="BE338" s="58" t="str">
        <f t="shared" si="305"/>
        <v>0,108489172855289+0,0205537061221369i</v>
      </c>
      <c r="BF338" s="37">
        <f t="shared" si="306"/>
        <v>-19.139123841759901</v>
      </c>
      <c r="BG338" s="60">
        <f t="shared" si="307"/>
        <v>10.727769725807818</v>
      </c>
      <c r="BH338" s="58" t="str">
        <f t="shared" si="308"/>
        <v>0,0792064873663262+0,420462196521641i</v>
      </c>
      <c r="BI338" s="37">
        <f t="shared" si="309"/>
        <v>-7.3740149742891941</v>
      </c>
      <c r="BJ338" s="60">
        <f t="shared" si="310"/>
        <v>79.331668446842073</v>
      </c>
      <c r="BK338">
        <f t="shared" si="311"/>
        <v>-19.139123841759901</v>
      </c>
      <c r="BL338" s="60">
        <f t="shared" si="312"/>
        <v>10.727769725807818</v>
      </c>
      <c r="BN338">
        <f t="shared" si="313"/>
        <v>0</v>
      </c>
      <c r="BO338">
        <f t="shared" si="314"/>
        <v>0</v>
      </c>
    </row>
    <row r="339" spans="13:67" x14ac:dyDescent="0.25">
      <c r="M339" s="66">
        <v>21</v>
      </c>
      <c r="N339" s="36">
        <f t="shared" si="316"/>
        <v>16218.100973589309</v>
      </c>
      <c r="O339" s="91" t="str">
        <f t="shared" ref="O339:O402" si="317">COMPLEX(adc,0)</f>
        <v>13,7404580152672</v>
      </c>
      <c r="P339" s="67" t="str">
        <f t="shared" ref="P339:P402" si="318">IMSUM(COMPLEX(1,0),IMDIV(COMPLEX(0,2*PI()*N339),COMPLEX(wp_lf,0)))</f>
        <v>1+110,05344044742i</v>
      </c>
      <c r="Q339" s="67">
        <f t="shared" si="275"/>
        <v>110.05798360098109</v>
      </c>
      <c r="R339" s="67">
        <f t="shared" si="276"/>
        <v>1.5617100821864942</v>
      </c>
      <c r="S339" s="67" t="str">
        <f t="shared" ref="S339:S402" si="319">IMSUM(COMPLEX(1,0),IMDIV(COMPLEX(0,2*PI()*N339),COMPLEX(wz_esr,0)))</f>
        <v>1+3,05704001242833i</v>
      </c>
      <c r="T339" s="67">
        <f t="shared" si="277"/>
        <v>3.2164411447417787</v>
      </c>
      <c r="U339" s="67">
        <f t="shared" si="278"/>
        <v>1.2546537501096235</v>
      </c>
      <c r="V339" t="str">
        <f t="shared" ref="V339:V402" si="320">IMSUB(COMPLEX(1,0),IMDIV(COMPLEX(0,2*PI()*N339),COMPLEX(wz_rhp,0)))</f>
        <v>1-0,636883335922569i</v>
      </c>
      <c r="W339" s="67">
        <f t="shared" si="279"/>
        <v>1.1855886232483255</v>
      </c>
      <c r="X339" s="67">
        <f t="shared" si="280"/>
        <v>-0.56709903425796149</v>
      </c>
      <c r="Y339" t="str">
        <f t="shared" ref="Y339:Y402" si="321">IMSUM(COMPLEX(1,0),IMDIV(COMPLEX(0,2*PI()*N339),COMPLEX(Q*(wsl/2),0)),IMDIV(IMPOWER(COMPLEX(0,2*PI()*N339),2),IMPOWER(COMPLEX(wsl/2,0),2)))</f>
        <v>0,98316628485187+1,10509792476417i</v>
      </c>
      <c r="Z339" s="67">
        <f t="shared" si="281"/>
        <v>1.4791407529331015</v>
      </c>
      <c r="AA339" s="67">
        <f t="shared" si="282"/>
        <v>0.84372093499661593</v>
      </c>
      <c r="AB339" s="92" t="str">
        <f t="shared" si="283"/>
        <v>-0,0471700556424752-0,318394319400289i</v>
      </c>
      <c r="AC339" s="37">
        <f t="shared" si="284"/>
        <v>-9.8464042578851103</v>
      </c>
      <c r="AD339" s="60">
        <f t="shared" si="285"/>
        <v>-98.42706179183584</v>
      </c>
      <c r="AE339" t="str">
        <f t="shared" si="286"/>
        <v>21,0353732052265</v>
      </c>
      <c r="AF339" t="str">
        <f t="shared" ref="AF339:AF402" si="322">IMSUM(COMPLEX(1,0),IMDIV(COMPLEX(0,2*PI()*N339),COMPLEX(wp_lf_DCM,0)))</f>
        <v>1+55,02672022371i</v>
      </c>
      <c r="AG339">
        <f t="shared" si="287"/>
        <v>55.035805968282645</v>
      </c>
      <c r="AH339">
        <f t="shared" si="288"/>
        <v>1.5526253376482302</v>
      </c>
      <c r="AI339" t="str">
        <f t="shared" ref="AI339:AI402" si="323">IMSUM(COMPLEX(1,0),IMDIV(COMPLEX(0,2*PI()*N339),COMPLEX(wz1_dcm,0)))</f>
        <v>1+3,05704001242833i</v>
      </c>
      <c r="AJ339">
        <f t="shared" si="289"/>
        <v>3.2164411447417787</v>
      </c>
      <c r="AK339">
        <f t="shared" si="290"/>
        <v>1.2546537501096235</v>
      </c>
      <c r="AL339" t="str">
        <f t="shared" ref="AL339:AL402" si="324">IMSUB(COMPLEX(1,0),IMDIV(COMPLEX(0,2*PI()*N339),COMPLEX(wz2_dcm,0)))</f>
        <v>1-0,208005226492249i</v>
      </c>
      <c r="AM339">
        <f t="shared" si="291"/>
        <v>1.0214040210651669</v>
      </c>
      <c r="AN339">
        <f t="shared" si="292"/>
        <v>-0.20508091012793347</v>
      </c>
      <c r="AO339" s="58" t="str">
        <f t="shared" si="293"/>
        <v>1,10011780578836-0,605364715399561i</v>
      </c>
      <c r="AP339">
        <f t="shared" si="294"/>
        <v>1.9775612592162379</v>
      </c>
      <c r="AQ339" s="60">
        <f t="shared" si="295"/>
        <v>-28.822784989807406</v>
      </c>
      <c r="AR339" t="str">
        <f t="shared" ref="AR339:AR402" si="325">COMPLEX(adc_ea,0)</f>
        <v>-1,05811623246493</v>
      </c>
      <c r="AS339" t="str">
        <f t="shared" ref="AS339:AS402" si="326">IMSUM(COMPLEX(1,0), IMDIV(COMPLEX(0,2*PI()*N339), COMPLEX(wp0_ea,0)))</f>
        <v>1+3,01301863624936i</v>
      </c>
      <c r="AT339">
        <f t="shared" si="296"/>
        <v>3.174630892306372</v>
      </c>
      <c r="AU339">
        <f t="shared" si="297"/>
        <v>1.2503425705304636</v>
      </c>
      <c r="AV339" t="str">
        <f t="shared" ref="AV339:AV402" si="327">IMSUM(COMPLEX(1,0),IMDIV(COMPLEX(0,2*PI()*N339),COMPLEX(wp1_ea,0)))</f>
        <v>1+3,01301863624936i</v>
      </c>
      <c r="AW339">
        <f t="shared" si="298"/>
        <v>3.174630892306372</v>
      </c>
      <c r="AX339">
        <f t="shared" si="299"/>
        <v>1.2503425705304636</v>
      </c>
      <c r="AY339" t="str">
        <f t="shared" ref="AY339:AY402" si="328">IMSUM(COMPLEX(1,0),IMDIV(COMPLEX(wz_ea,0),COMPLEX(0,2*PI()*N339)))</f>
        <v>1-0,00844818719283845i</v>
      </c>
      <c r="AZ339">
        <f t="shared" si="300"/>
        <v>1.0000356852967025</v>
      </c>
      <c r="BA339">
        <f t="shared" si="301"/>
        <v>-8.4479862138144585E-3</v>
      </c>
      <c r="BB339" s="58" t="str">
        <f t="shared" si="302"/>
        <v>-0,102317283452421+0,317223045856198i</v>
      </c>
      <c r="BC339">
        <f t="shared" si="303"/>
        <v>-9.5428872698169229</v>
      </c>
      <c r="BD339" s="60">
        <f t="shared" si="304"/>
        <v>107.87661380762967</v>
      </c>
      <c r="BE339" s="58" t="str">
        <f t="shared" si="305"/>
        <v>0,105828327737108+0,0176138131036077i</v>
      </c>
      <c r="BF339" s="37">
        <f t="shared" si="306"/>
        <v>-19.389291527702067</v>
      </c>
      <c r="BG339" s="60">
        <f t="shared" si="307"/>
        <v>9.4495520157938593</v>
      </c>
      <c r="BH339" s="58" t="str">
        <f t="shared" si="308"/>
        <v>0,0794745735070161+0,410921994330452i</v>
      </c>
      <c r="BI339" s="37">
        <f t="shared" si="309"/>
        <v>-7.5653260106006801</v>
      </c>
      <c r="BJ339" s="60">
        <f t="shared" si="310"/>
        <v>79.053828817822279</v>
      </c>
      <c r="BK339">
        <f t="shared" si="311"/>
        <v>-19.389291527702067</v>
      </c>
      <c r="BL339" s="60">
        <f t="shared" si="312"/>
        <v>9.4495520157938593</v>
      </c>
      <c r="BN339">
        <f t="shared" si="313"/>
        <v>0</v>
      </c>
      <c r="BO339">
        <f t="shared" si="314"/>
        <v>0</v>
      </c>
    </row>
    <row r="340" spans="13:67" x14ac:dyDescent="0.25">
      <c r="M340" s="66">
        <v>22</v>
      </c>
      <c r="N340" s="36">
        <f t="shared" si="316"/>
        <v>16595.869074375616</v>
      </c>
      <c r="O340" s="91" t="str">
        <f t="shared" si="317"/>
        <v>13,7404580152672</v>
      </c>
      <c r="P340" s="67" t="str">
        <f t="shared" si="318"/>
        <v>1+112,616914386232i</v>
      </c>
      <c r="Q340" s="67">
        <f t="shared" ref="Q340:Q403" si="329">IMABS(P340)</f>
        <v>112.62135412911668</v>
      </c>
      <c r="R340" s="67">
        <f t="shared" ref="R340:R403" si="330">IMARGUMENT(P340)</f>
        <v>1.5619168993669541</v>
      </c>
      <c r="S340" s="67" t="str">
        <f t="shared" si="319"/>
        <v>1+3,12824762183979i</v>
      </c>
      <c r="T340" s="67">
        <f t="shared" ref="T340:T403" si="331">IMABS(S340)</f>
        <v>3.2841944497161406</v>
      </c>
      <c r="U340" s="67">
        <f t="shared" ref="U340:U403" si="332">IMARGUMENT(S340)</f>
        <v>1.2613947640182641</v>
      </c>
      <c r="V340" t="str">
        <f t="shared" si="320"/>
        <v>1-0,651718254549956i</v>
      </c>
      <c r="W340" s="67">
        <f t="shared" ref="W340:W403" si="333">IMABS(V340)</f>
        <v>1.1936233423126581</v>
      </c>
      <c r="X340" s="67">
        <f t="shared" ref="X340:X403" si="334">IMARGUMENT(V340)</f>
        <v>-0.57758218417618001</v>
      </c>
      <c r="Y340" t="str">
        <f t="shared" si="321"/>
        <v>0,982372936298636+1,13083896219518i</v>
      </c>
      <c r="Z340" s="67">
        <f t="shared" ref="Z340:Z403" si="335">IMABS(Y340)</f>
        <v>1.4979497135720796</v>
      </c>
      <c r="AA340" s="67">
        <f t="shared" ref="AA340:AA403" si="336">IMARGUMENT(Y340)</f>
        <v>0.85553901144303302</v>
      </c>
      <c r="AB340" s="92" t="str">
        <f t="shared" ref="AB340:AB403" si="337">(IMDIV(IMPRODUCT(O340,S340,V340),IMPRODUCT(P340,Y340)))</f>
        <v>-0,0517652064304105-0,315061403477935i</v>
      </c>
      <c r="AC340" s="37">
        <f t="shared" ref="AC340:AC403" si="338">20*LOG(IMABS(AB340))</f>
        <v>-9.9164120737897914</v>
      </c>
      <c r="AD340" s="60">
        <f t="shared" ref="AD340:AD403" si="339">(180/PI())*IMARGUMENT(AB340)</f>
        <v>-99.330446045462494</v>
      </c>
      <c r="AE340" t="str">
        <f t="shared" ref="AE340:AE403" si="340">COMPLEX($B$67,0)</f>
        <v>21,0353732052265</v>
      </c>
      <c r="AF340" t="str">
        <f t="shared" si="322"/>
        <v>1+56,3084571931163i</v>
      </c>
      <c r="AG340">
        <f t="shared" ref="AG340:AG403" si="341">IMABS(AF340)</f>
        <v>56.317336153879033</v>
      </c>
      <c r="AH340">
        <f t="shared" ref="AH340:AH403" si="342">IMARGUMENT(AF340)</f>
        <v>1.5530388719015225</v>
      </c>
      <c r="AI340" t="str">
        <f t="shared" si="323"/>
        <v>1+3,12824762183979i</v>
      </c>
      <c r="AJ340">
        <f t="shared" ref="AJ340:AJ403" si="343">IMABS(AI340)</f>
        <v>3.2841944497161406</v>
      </c>
      <c r="AK340">
        <f t="shared" ref="AK340:AK403" si="344">IMARGUMENT(AI340)</f>
        <v>1.2613947640182641</v>
      </c>
      <c r="AL340" t="str">
        <f t="shared" si="324"/>
        <v>1-0,21285029062729i</v>
      </c>
      <c r="AM340">
        <f t="shared" ref="AM340:AM403" si="345">IMABS(AL340)</f>
        <v>1.0224017049184346</v>
      </c>
      <c r="AN340">
        <f t="shared" ref="AN340:AN403" si="346">IMARGUMENT(AL340)</f>
        <v>-0.2097205253014198</v>
      </c>
      <c r="AO340" s="58" t="str">
        <f t="shared" ref="AO340:AO403" si="347">(IMDIV(IMPRODUCT(AE340,AI340,AL340),IMPRODUCT(AF340)))</f>
        <v>1,09982158082416-0,602785500326564i</v>
      </c>
      <c r="AP340">
        <f t="shared" ref="AP340:AP403" si="348">20*LOG(IMABS(AO340))</f>
        <v>1.967170904021017</v>
      </c>
      <c r="AQ340" s="60">
        <f t="shared" ref="AQ340:AQ403" si="349">(180/PI())*IMARGUMENT(AO340)</f>
        <v>-28.726077478606747</v>
      </c>
      <c r="AR340" t="str">
        <f t="shared" si="325"/>
        <v>-1,05811623246493</v>
      </c>
      <c r="AS340" t="str">
        <f t="shared" si="326"/>
        <v>1+3,0832008560853i</v>
      </c>
      <c r="AT340">
        <f t="shared" ref="AT340:AT403" si="350">IMABS(AS340)</f>
        <v>3.2413157080057977</v>
      </c>
      <c r="AU340">
        <f t="shared" ref="AU340:AU403" si="351">IMARGUMENT(AS340)</f>
        <v>1.2571630655462236</v>
      </c>
      <c r="AV340" t="str">
        <f t="shared" si="327"/>
        <v>1+3,0832008560853i</v>
      </c>
      <c r="AW340">
        <f t="shared" ref="AW340:AW403" si="352">IMABS(AV340)</f>
        <v>3.2413157080057977</v>
      </c>
      <c r="AX340">
        <f t="shared" ref="AX340:AX403" si="353">IMARGUMENT(AV340)</f>
        <v>1.2571630655462236</v>
      </c>
      <c r="AY340" t="str">
        <f t="shared" si="328"/>
        <v>1-0,00825588297444389i</v>
      </c>
      <c r="AZ340">
        <f t="shared" ref="AZ340:AZ403" si="354">IMABS(AY340)</f>
        <v>1.0000340792211473</v>
      </c>
      <c r="BA340">
        <f t="shared" ref="BA340:BA403" si="355">IMARGUMENT(AY340)</f>
        <v>-8.2556954095438957E-3</v>
      </c>
      <c r="BB340" s="58" t="str">
        <f t="shared" ref="BB340:BB403" si="356">IMDIV(IMPRODUCT(AR340,AY340), AS340)</f>
        <v>-0,0981505662165266+0,311353593572642i</v>
      </c>
      <c r="BC340">
        <f t="shared" ref="BC340:BC403" si="357">20*LOG(IMABS(BB340))</f>
        <v>-9.7234631363132173</v>
      </c>
      <c r="BD340" s="60">
        <f t="shared" ref="BD340:BD403" si="358">(180/PI())*IMARGUMENT(BB340)</f>
        <v>107.4968456805605</v>
      </c>
      <c r="BE340" s="58" t="str">
        <f t="shared" ref="BE340:BE403" si="359">IMPRODUCT(AB340,BB340)</f>
        <v>0,103176284490355+0,0148061721001949i</v>
      </c>
      <c r="BF340" s="37">
        <f t="shared" ref="BF340:BF403" si="360">20*LOG(IMABS(BE340))</f>
        <v>-19.639875210103035</v>
      </c>
      <c r="BG340" s="60">
        <f t="shared" ref="BG340:BG403" si="361">(180/PI())*IMARGUMENT(BE340)</f>
        <v>8.1663996350980188</v>
      </c>
      <c r="BH340" s="58" t="str">
        <f t="shared" ref="BH340:BH403" si="362">IMPRODUCT(AO340,BB340)</f>
        <v>0,079731320785112+0,401597139642511i</v>
      </c>
      <c r="BI340" s="37">
        <f t="shared" ref="BI340:BI403" si="363">20*LOG(IMABS(BH340))</f>
        <v>-7.7562922322921937</v>
      </c>
      <c r="BJ340" s="60">
        <f t="shared" ref="BJ340:BJ403" si="364">(180/PI())*IMARGUMENT(BH340)</f>
        <v>78.770768201953771</v>
      </c>
      <c r="BK340">
        <f t="shared" ref="BK340:BK403" si="365">IF($B$19=0,BF340,BI340)</f>
        <v>-19.639875210103035</v>
      </c>
      <c r="BL340" s="60">
        <f t="shared" ref="BL340:BL403" si="366">IF($B$19=0,BG340,BJ340)</f>
        <v>8.1663996350980188</v>
      </c>
      <c r="BN340">
        <f t="shared" si="313"/>
        <v>0</v>
      </c>
      <c r="BO340">
        <f t="shared" si="314"/>
        <v>0</v>
      </c>
    </row>
    <row r="341" spans="13:67" x14ac:dyDescent="0.25">
      <c r="M341" s="66">
        <v>23</v>
      </c>
      <c r="N341" s="36">
        <f t="shared" si="316"/>
        <v>16982.436524617482</v>
      </c>
      <c r="O341" s="91" t="str">
        <f t="shared" si="317"/>
        <v>13,7404580152672</v>
      </c>
      <c r="P341" s="67" t="str">
        <f t="shared" si="318"/>
        <v>1+115,240099303714i</v>
      </c>
      <c r="Q341" s="67">
        <f t="shared" si="329"/>
        <v>115.24443798956139</v>
      </c>
      <c r="R341" s="67">
        <f t="shared" si="330"/>
        <v>1.5621190095476505</v>
      </c>
      <c r="S341" s="67" t="str">
        <f t="shared" si="319"/>
        <v>1+3,20111386954761i</v>
      </c>
      <c r="T341" s="67">
        <f t="shared" si="331"/>
        <v>3.3536741054864097</v>
      </c>
      <c r="U341" s="67">
        <f t="shared" si="332"/>
        <v>1.2680105257179872</v>
      </c>
      <c r="V341" t="str">
        <f t="shared" si="320"/>
        <v>1-0,666898722822419i</v>
      </c>
      <c r="W341" s="67">
        <f t="shared" si="333"/>
        <v>1.2019791622578877</v>
      </c>
      <c r="X341" s="67">
        <f t="shared" si="334"/>
        <v>-0.58816324060317537</v>
      </c>
      <c r="Y341" t="str">
        <f t="shared" si="321"/>
        <v>0,981542198379989+1,15717958541238i</v>
      </c>
      <c r="Z341" s="67">
        <f t="shared" si="335"/>
        <v>1.5173956900214887</v>
      </c>
      <c r="AA341" s="67">
        <f t="shared" si="336"/>
        <v>0.86733688889555449</v>
      </c>
      <c r="AB341" s="92" t="str">
        <f t="shared" si="337"/>
        <v>-0,0563353150029267-0,311687824484598i</v>
      </c>
      <c r="AC341" s="37">
        <f t="shared" si="338"/>
        <v>-9.9859962948115566</v>
      </c>
      <c r="AD341" s="60">
        <f t="shared" si="339"/>
        <v>-100.24518934345325</v>
      </c>
      <c r="AE341" t="str">
        <f t="shared" si="340"/>
        <v>21,0353732052265</v>
      </c>
      <c r="AF341" t="str">
        <f t="shared" si="322"/>
        <v>1+57,620049651857i</v>
      </c>
      <c r="AG341">
        <f t="shared" si="341"/>
        <v>57.628726533582757</v>
      </c>
      <c r="AH341">
        <f t="shared" si="342"/>
        <v>1.5534429988353451</v>
      </c>
      <c r="AI341" t="str">
        <f t="shared" si="323"/>
        <v>1+3,20111386954761i</v>
      </c>
      <c r="AJ341">
        <f t="shared" si="343"/>
        <v>3.3536741054864097</v>
      </c>
      <c r="AK341">
        <f t="shared" si="344"/>
        <v>1.2680105257179872</v>
      </c>
      <c r="AL341" t="str">
        <f t="shared" si="324"/>
        <v>1-0,217808210803829i</v>
      </c>
      <c r="AM341">
        <f t="shared" si="345"/>
        <v>1.0234453657589959</v>
      </c>
      <c r="AN341">
        <f t="shared" si="346"/>
        <v>-0.21445874208180532</v>
      </c>
      <c r="AO341" s="58" t="str">
        <f t="shared" si="347"/>
        <v>1,09953867996144-0,600525416575836i</v>
      </c>
      <c r="AP341">
        <f t="shared" si="348"/>
        <v>1.9579344050358161</v>
      </c>
      <c r="AQ341" s="60">
        <f t="shared" si="349"/>
        <v>-28.641656846578027</v>
      </c>
      <c r="AR341" t="str">
        <f t="shared" si="325"/>
        <v>-1,05811623246493</v>
      </c>
      <c r="AS341" t="str">
        <f t="shared" si="326"/>
        <v>1+3,15501782982613i</v>
      </c>
      <c r="AT341">
        <f t="shared" si="350"/>
        <v>3.3097035375575232</v>
      </c>
      <c r="AU341">
        <f t="shared" si="351"/>
        <v>1.2638575928405471</v>
      </c>
      <c r="AV341" t="str">
        <f t="shared" si="327"/>
        <v>1+3,15501782982613i</v>
      </c>
      <c r="AW341">
        <f t="shared" si="352"/>
        <v>3.3097035375575232</v>
      </c>
      <c r="AX341">
        <f t="shared" si="353"/>
        <v>1.2638575928405471</v>
      </c>
      <c r="AY341" t="str">
        <f t="shared" si="328"/>
        <v>1-0,0080679561344819i</v>
      </c>
      <c r="AZ341">
        <f t="shared" si="354"/>
        <v>1.0000325454284915</v>
      </c>
      <c r="BA341">
        <f t="shared" si="355"/>
        <v>-8.0677810884101295E-3</v>
      </c>
      <c r="BB341" s="58" t="str">
        <f t="shared" si="356"/>
        <v>-0,0941363356189035+0,305538652660847i</v>
      </c>
      <c r="BC341">
        <f t="shared" si="357"/>
        <v>-9.9048316633433604</v>
      </c>
      <c r="BD341" s="60">
        <f t="shared" si="358"/>
        <v>107.12404421827169</v>
      </c>
      <c r="BE341" s="58" t="str">
        <f t="shared" si="359"/>
        <v>0,100535878064127+0,0121285334107894i</v>
      </c>
      <c r="BF341" s="37">
        <f t="shared" si="360"/>
        <v>-19.890827958154897</v>
      </c>
      <c r="BG341" s="60">
        <f t="shared" si="361"/>
        <v>6.8788548748184555</v>
      </c>
      <c r="BH341" s="58" t="str">
        <f t="shared" si="362"/>
        <v>0,0799771844663586+0,392482828986369i</v>
      </c>
      <c r="BI341" s="37">
        <f t="shared" si="363"/>
        <v>-7.9468972583075512</v>
      </c>
      <c r="BJ341" s="60">
        <f t="shared" si="364"/>
        <v>78.482387371693662</v>
      </c>
      <c r="BK341">
        <f t="shared" si="365"/>
        <v>-19.890827958154897</v>
      </c>
      <c r="BL341" s="60">
        <f t="shared" si="366"/>
        <v>6.8788548748184555</v>
      </c>
      <c r="BN341">
        <f t="shared" ref="BN341:BN404" si="367">SUM((BK342&lt;0)*(BK341&gt;0))*N341</f>
        <v>0</v>
      </c>
      <c r="BO341">
        <f t="shared" ref="BO341:BO404" si="368">IF(BN341&gt;0,BL341,0)</f>
        <v>0</v>
      </c>
    </row>
    <row r="342" spans="13:67" x14ac:dyDescent="0.25">
      <c r="M342" s="66">
        <v>24</v>
      </c>
      <c r="N342" s="36">
        <f t="shared" si="316"/>
        <v>17378.008287493791</v>
      </c>
      <c r="O342" s="91" t="str">
        <f t="shared" si="317"/>
        <v>13,7404580152672</v>
      </c>
      <c r="P342" s="67" t="str">
        <f t="shared" si="318"/>
        <v>1+117,924386047228i</v>
      </c>
      <c r="Q342" s="67">
        <f t="shared" si="329"/>
        <v>117.92862597612024</v>
      </c>
      <c r="R342" s="67">
        <f t="shared" si="330"/>
        <v>1.5623165198239914</v>
      </c>
      <c r="S342" s="67" t="str">
        <f t="shared" si="319"/>
        <v>1+3,27567739020078i</v>
      </c>
      <c r="T342" s="67">
        <f t="shared" si="331"/>
        <v>3.4249178624709518</v>
      </c>
      <c r="U342" s="67">
        <f t="shared" si="332"/>
        <v>1.2745022256643859</v>
      </c>
      <c r="V342" t="str">
        <f t="shared" si="320"/>
        <v>1-0,682432789625163i</v>
      </c>
      <c r="W342" s="67">
        <f t="shared" si="333"/>
        <v>1.2106669700440258</v>
      </c>
      <c r="X342" s="67">
        <f t="shared" si="334"/>
        <v>-0.59883833648201013</v>
      </c>
      <c r="Y342" t="str">
        <f t="shared" si="321"/>
        <v>0,980672308989427+1,18413376056283i</v>
      </c>
      <c r="Z342" s="67">
        <f t="shared" si="335"/>
        <v>1.5374950213003369</v>
      </c>
      <c r="AA342" s="67">
        <f t="shared" si="336"/>
        <v>0.879108877925879</v>
      </c>
      <c r="AB342" s="92" t="str">
        <f t="shared" si="337"/>
        <v>-0,0608758885596253-0,30827350776559i</v>
      </c>
      <c r="AC342" s="37">
        <f t="shared" si="338"/>
        <v>-10.055137852509407</v>
      </c>
      <c r="AD342" s="60">
        <f t="shared" si="339"/>
        <v>-101.17068206757101</v>
      </c>
      <c r="AE342" t="str">
        <f t="shared" si="340"/>
        <v>21,0353732052265</v>
      </c>
      <c r="AF342" t="str">
        <f t="shared" si="322"/>
        <v>1+58,9621930236141i</v>
      </c>
      <c r="AG342">
        <f t="shared" si="341"/>
        <v>58.970672424128992</v>
      </c>
      <c r="AH342">
        <f t="shared" si="342"/>
        <v>1.553837932194833</v>
      </c>
      <c r="AI342" t="str">
        <f t="shared" si="323"/>
        <v>1+3,27567739020078i</v>
      </c>
      <c r="AJ342">
        <f t="shared" si="343"/>
        <v>3.4249178624709518</v>
      </c>
      <c r="AK342">
        <f t="shared" si="344"/>
        <v>1.2745022256643859</v>
      </c>
      <c r="AL342" t="str">
        <f t="shared" si="324"/>
        <v>1-0,222881615776766i</v>
      </c>
      <c r="AM342">
        <f t="shared" si="345"/>
        <v>1.0245370733415466</v>
      </c>
      <c r="AN342">
        <f t="shared" si="346"/>
        <v>-0.21929722133083909</v>
      </c>
      <c r="AO342" s="58" t="str">
        <f t="shared" si="347"/>
        <v>1,09926850423962-0,598583297408236i</v>
      </c>
      <c r="AP342">
        <f t="shared" si="348"/>
        <v>1.9498396075351025</v>
      </c>
      <c r="AQ342" s="60">
        <f t="shared" si="349"/>
        <v>-28.569562292702866</v>
      </c>
      <c r="AR342" t="str">
        <f t="shared" si="325"/>
        <v>-1,05811623246493</v>
      </c>
      <c r="AS342" t="str">
        <f t="shared" si="326"/>
        <v>1+3,22850763578189i</v>
      </c>
      <c r="AT342">
        <f t="shared" si="350"/>
        <v>3.3798315866773549</v>
      </c>
      <c r="AU342">
        <f t="shared" si="351"/>
        <v>1.2704273008869627</v>
      </c>
      <c r="AV342" t="str">
        <f t="shared" si="327"/>
        <v>1+3,22850763578189i</v>
      </c>
      <c r="AW342">
        <f t="shared" si="352"/>
        <v>3.3798315866773549</v>
      </c>
      <c r="AX342">
        <f t="shared" si="353"/>
        <v>1.2704273008869627</v>
      </c>
      <c r="AY342" t="str">
        <f t="shared" si="328"/>
        <v>1-0,00788430703165452i</v>
      </c>
      <c r="AZ342">
        <f t="shared" si="354"/>
        <v>1.0000310806656807</v>
      </c>
      <c r="BA342">
        <f t="shared" si="355"/>
        <v>-7.8841436688680613E-3</v>
      </c>
      <c r="BB342" s="58" t="str">
        <f t="shared" si="356"/>
        <v>-0,0902703978043047+0,299781181848198i</v>
      </c>
      <c r="BC342">
        <f t="shared" si="357"/>
        <v>-10.086963710681015</v>
      </c>
      <c r="BD342" s="60">
        <f t="shared" si="358"/>
        <v>106.75814932367933</v>
      </c>
      <c r="BE342" s="58" t="str">
        <f t="shared" si="359"/>
        <v>0,0979098871674261+0,00957852636006455i</v>
      </c>
      <c r="BF342" s="37">
        <f t="shared" si="360"/>
        <v>-20.142101563190423</v>
      </c>
      <c r="BG342" s="60">
        <f t="shared" si="361"/>
        <v>5.5874672561083321</v>
      </c>
      <c r="BH342" s="58" t="str">
        <f t="shared" si="362"/>
        <v>0,0802126031601789+0,383574363745508i</v>
      </c>
      <c r="BI342" s="37">
        <f t="shared" si="363"/>
        <v>-8.1371241031459167</v>
      </c>
      <c r="BJ342" s="60">
        <f t="shared" si="364"/>
        <v>78.188587030976478</v>
      </c>
      <c r="BK342">
        <f t="shared" si="365"/>
        <v>-20.142101563190423</v>
      </c>
      <c r="BL342" s="60">
        <f t="shared" si="366"/>
        <v>5.5874672561083321</v>
      </c>
      <c r="BN342">
        <f t="shared" si="367"/>
        <v>0</v>
      </c>
      <c r="BO342">
        <f t="shared" si="368"/>
        <v>0</v>
      </c>
    </row>
    <row r="343" spans="13:67" x14ac:dyDescent="0.25">
      <c r="M343" s="66">
        <v>25</v>
      </c>
      <c r="N343" s="36">
        <f t="shared" si="316"/>
        <v>17782.794100389234</v>
      </c>
      <c r="O343" s="91" t="str">
        <f t="shared" si="317"/>
        <v>13,7404580152672</v>
      </c>
      <c r="P343" s="67" t="str">
        <f t="shared" si="318"/>
        <v>1+120,671197861138i</v>
      </c>
      <c r="Q343" s="67">
        <f t="shared" si="329"/>
        <v>120.67534128081809</v>
      </c>
      <c r="R343" s="67">
        <f t="shared" si="330"/>
        <v>1.5625095348568647</v>
      </c>
      <c r="S343" s="67" t="str">
        <f t="shared" si="319"/>
        <v>1+3,35197771836495i</v>
      </c>
      <c r="T343" s="67">
        <f t="shared" si="331"/>
        <v>3.4979643543659926</v>
      </c>
      <c r="U343" s="67">
        <f t="shared" si="332"/>
        <v>1.2808711164523463</v>
      </c>
      <c r="V343" t="str">
        <f t="shared" si="320"/>
        <v>1-0,698328691326031i</v>
      </c>
      <c r="W343" s="67">
        <f t="shared" si="333"/>
        <v>1.2196978974849171</v>
      </c>
      <c r="X343" s="67">
        <f t="shared" si="334"/>
        <v>-0.60960339977288569</v>
      </c>
      <c r="Y343" t="str">
        <f t="shared" si="321"/>
        <v>0,979761422974922+1,21171577910699i</v>
      </c>
      <c r="Z343" s="67">
        <f t="shared" si="335"/>
        <v>1.5582642828758875</v>
      </c>
      <c r="AA343" s="67">
        <f t="shared" si="336"/>
        <v>0.890849383010481</v>
      </c>
      <c r="AB343" s="92" t="str">
        <f t="shared" si="337"/>
        <v>-0,0653825418708673-0,304818661740257i</v>
      </c>
      <c r="AC343" s="37">
        <f t="shared" si="338"/>
        <v>-10.123815756630389</v>
      </c>
      <c r="AD343" s="60">
        <f t="shared" si="339"/>
        <v>-102.10630453546513</v>
      </c>
      <c r="AE343" t="str">
        <f t="shared" si="340"/>
        <v>21,0353732052265</v>
      </c>
      <c r="AF343" t="str">
        <f t="shared" si="322"/>
        <v>1+60,3355989305692i</v>
      </c>
      <c r="AG343">
        <f t="shared" si="341"/>
        <v>60.343885343177099</v>
      </c>
      <c r="AH343">
        <f t="shared" si="342"/>
        <v>1.5542238808858091</v>
      </c>
      <c r="AI343" t="str">
        <f t="shared" si="323"/>
        <v>1+3,35197771836495i</v>
      </c>
      <c r="AJ343">
        <f t="shared" si="343"/>
        <v>3.4979643543659926</v>
      </c>
      <c r="AK343">
        <f t="shared" si="344"/>
        <v>1.2808711164523463</v>
      </c>
      <c r="AL343" t="str">
        <f t="shared" si="324"/>
        <v>1-0,228073195532575i</v>
      </c>
      <c r="AM343">
        <f t="shared" si="345"/>
        <v>1.0256789860967417</v>
      </c>
      <c r="AN343">
        <f t="shared" si="346"/>
        <v>-0.22423762187530788</v>
      </c>
      <c r="AO343" s="58" t="str">
        <f t="shared" si="347"/>
        <v>1,09901048159225-0,596958142567401i</v>
      </c>
      <c r="AP343">
        <f t="shared" si="348"/>
        <v>1.942875789260988</v>
      </c>
      <c r="AQ343" s="60">
        <f t="shared" si="349"/>
        <v>-28.509829061776713</v>
      </c>
      <c r="AR343" t="str">
        <f t="shared" si="325"/>
        <v>-1,05811623246493</v>
      </c>
      <c r="AS343" t="str">
        <f t="shared" si="326"/>
        <v>1+3,3037092392205i</v>
      </c>
      <c r="AT343">
        <f t="shared" si="350"/>
        <v>3.4517379299869932</v>
      </c>
      <c r="AU343">
        <f t="shared" si="351"/>
        <v>1.276873403773592</v>
      </c>
      <c r="AV343" t="str">
        <f t="shared" si="327"/>
        <v>1+3,3037092392205i</v>
      </c>
      <c r="AW343">
        <f t="shared" si="352"/>
        <v>3.4517379299869932</v>
      </c>
      <c r="AX343">
        <f t="shared" si="353"/>
        <v>1.276873403773592</v>
      </c>
      <c r="AY343" t="str">
        <f t="shared" si="328"/>
        <v>1-0,00770483829277646i</v>
      </c>
      <c r="AZ343">
        <f t="shared" si="354"/>
        <v>1.0000296818260537</v>
      </c>
      <c r="BA343">
        <f t="shared" si="355"/>
        <v>-7.7046858334974943E-3</v>
      </c>
      <c r="BB343" s="58" t="str">
        <f t="shared" si="356"/>
        <v>-0,0865485601752171+0,2940838923582i</v>
      </c>
      <c r="BC343">
        <f t="shared" si="357"/>
        <v>-10.269830950304028</v>
      </c>
      <c r="BD343" s="60">
        <f t="shared" si="358"/>
        <v>106.3990970105357</v>
      </c>
      <c r="BE343" s="58" t="str">
        <f t="shared" si="359"/>
        <v>0,0953010233675117+0,00715366388249814i</v>
      </c>
      <c r="BF343" s="37">
        <f t="shared" si="360"/>
        <v>-20.393646706934419</v>
      </c>
      <c r="BG343" s="60">
        <f t="shared" si="361"/>
        <v>4.2927924750705806</v>
      </c>
      <c r="BH343" s="58" t="str">
        <f t="shared" si="362"/>
        <v>0,0804379993418614+0,374867147893189i</v>
      </c>
      <c r="BI343" s="37">
        <f t="shared" si="363"/>
        <v>-8.3269551610430472</v>
      </c>
      <c r="BJ343" s="60">
        <f t="shared" si="364"/>
        <v>77.889267948758985</v>
      </c>
      <c r="BK343">
        <f t="shared" si="365"/>
        <v>-20.393646706934419</v>
      </c>
      <c r="BL343" s="60">
        <f t="shared" si="366"/>
        <v>4.2927924750705806</v>
      </c>
      <c r="BN343">
        <f t="shared" si="367"/>
        <v>0</v>
      </c>
      <c r="BO343">
        <f t="shared" si="368"/>
        <v>0</v>
      </c>
    </row>
    <row r="344" spans="13:67" x14ac:dyDescent="0.25">
      <c r="M344" s="66">
        <v>26</v>
      </c>
      <c r="N344" s="36">
        <f t="shared" si="316"/>
        <v>18197.008586099837</v>
      </c>
      <c r="O344" s="91" t="str">
        <f t="shared" si="317"/>
        <v>13,7404580152672</v>
      </c>
      <c r="P344" s="67" t="str">
        <f t="shared" si="318"/>
        <v>1+123,481991141427i</v>
      </c>
      <c r="Q344" s="67">
        <f t="shared" si="329"/>
        <v>123.48604024848905</v>
      </c>
      <c r="R344" s="67">
        <f t="shared" si="330"/>
        <v>1.5626981569278371</v>
      </c>
      <c r="S344" s="67" t="str">
        <f t="shared" si="319"/>
        <v>1+3,43005530948409i</v>
      </c>
      <c r="T344" s="67">
        <f t="shared" si="331"/>
        <v>3.5728531212631731</v>
      </c>
      <c r="U344" s="67">
        <f t="shared" si="332"/>
        <v>1.2871185074653799</v>
      </c>
      <c r="V344" t="str">
        <f t="shared" si="320"/>
        <v>1-0,714594856142519i</v>
      </c>
      <c r="W344" s="67">
        <f t="shared" si="333"/>
        <v>1.229083320375534</v>
      </c>
      <c r="X344" s="67">
        <f t="shared" si="334"/>
        <v>-0.62045415809399496</v>
      </c>
      <c r="Y344" t="str">
        <f t="shared" si="321"/>
        <v>0,978807608225114+1,2399402653962i</v>
      </c>
      <c r="Z344" s="67">
        <f t="shared" si="335"/>
        <v>1.5797202903267931</v>
      </c>
      <c r="AA344" s="67">
        <f t="shared" si="336"/>
        <v>0.9025529168454387</v>
      </c>
      <c r="AB344" s="92" t="str">
        <f t="shared" si="337"/>
        <v>-0,0698510146562409-0,301323766720665i</v>
      </c>
      <c r="AC344" s="37">
        <f t="shared" si="338"/>
        <v>-10.192007272913417</v>
      </c>
      <c r="AD344" s="60">
        <f t="shared" si="339"/>
        <v>-103.05142839648772</v>
      </c>
      <c r="AE344" t="str">
        <f t="shared" si="340"/>
        <v>21,0353732052265</v>
      </c>
      <c r="AF344" t="str">
        <f t="shared" si="322"/>
        <v>1+61,7409955707137i</v>
      </c>
      <c r="AG344">
        <f t="shared" si="341"/>
        <v>61.749093386566322</v>
      </c>
      <c r="AH344">
        <f t="shared" si="342"/>
        <v>1.5546010490831979</v>
      </c>
      <c r="AI344" t="str">
        <f t="shared" si="323"/>
        <v>1+3,43005530948409i</v>
      </c>
      <c r="AJ344">
        <f t="shared" si="343"/>
        <v>3.5728531212631731</v>
      </c>
      <c r="AK344">
        <f t="shared" si="344"/>
        <v>1.2871185074653799</v>
      </c>
      <c r="AL344" t="str">
        <f t="shared" si="324"/>
        <v>1-0,233385702715563i</v>
      </c>
      <c r="AM344">
        <f t="shared" si="345"/>
        <v>1.0268733545243236</v>
      </c>
      <c r="AN344">
        <f t="shared" si="346"/>
        <v>-0.22928159807970955</v>
      </c>
      <c r="AO344" s="58" t="str">
        <f t="shared" si="347"/>
        <v>1,09876406564213-0,595649117889742i</v>
      </c>
      <c r="AP344">
        <f t="shared" si="348"/>
        <v>1.937033674927028</v>
      </c>
      <c r="AQ344" s="60">
        <f t="shared" si="349"/>
        <v>-28.462488618115639</v>
      </c>
      <c r="AR344" t="str">
        <f t="shared" si="325"/>
        <v>-1,05811623246493</v>
      </c>
      <c r="AS344" t="str">
        <f t="shared" si="326"/>
        <v>1+3,38066251302752i</v>
      </c>
      <c r="AT344">
        <f t="shared" si="350"/>
        <v>3.5254615338973063</v>
      </c>
      <c r="AU344">
        <f t="shared" si="351"/>
        <v>1.2831971757237328</v>
      </c>
      <c r="AV344" t="str">
        <f t="shared" si="327"/>
        <v>1+3,38066251302752i</v>
      </c>
      <c r="AW344">
        <f t="shared" si="352"/>
        <v>3.5254615338973063</v>
      </c>
      <c r="AX344">
        <f t="shared" si="353"/>
        <v>1.2831971757237328</v>
      </c>
      <c r="AY344" t="str">
        <f t="shared" si="328"/>
        <v>1-0,00752945476114677i</v>
      </c>
      <c r="AZ344">
        <f t="shared" si="354"/>
        <v>1.0000283459427539</v>
      </c>
      <c r="BA344">
        <f t="shared" si="355"/>
        <v>-7.5293124776408945E-3</v>
      </c>
      <c r="BB344" s="58" t="str">
        <f t="shared" si="356"/>
        <v>-0,0829666426465514+0,288449256931326i</v>
      </c>
      <c r="BC344">
        <f t="shared" si="357"/>
        <v>-10.45340586509969</v>
      </c>
      <c r="BD344" s="60">
        <f t="shared" si="358"/>
        <v>106.04681972031906</v>
      </c>
      <c r="BE344" s="58" t="str">
        <f t="shared" si="359"/>
        <v>0,0927119207778074+0,00485134800093438i</v>
      </c>
      <c r="BF344" s="37">
        <f t="shared" si="360"/>
        <v>-20.645413138013105</v>
      </c>
      <c r="BG344" s="60">
        <f t="shared" si="361"/>
        <v>2.9953913238313388</v>
      </c>
      <c r="BH344" s="58" t="str">
        <f t="shared" si="362"/>
        <v>0,0806537798600933+0,366356685784007i</v>
      </c>
      <c r="BI344" s="37">
        <f t="shared" si="363"/>
        <v>-8.5163721901726603</v>
      </c>
      <c r="BJ344" s="60">
        <f t="shared" si="364"/>
        <v>77.584331102203436</v>
      </c>
      <c r="BK344">
        <f t="shared" si="365"/>
        <v>-20.645413138013105</v>
      </c>
      <c r="BL344" s="60">
        <f t="shared" si="366"/>
        <v>2.9953913238313388</v>
      </c>
      <c r="BN344">
        <f t="shared" si="367"/>
        <v>0</v>
      </c>
      <c r="BO344">
        <f t="shared" si="368"/>
        <v>0</v>
      </c>
    </row>
    <row r="345" spans="13:67" x14ac:dyDescent="0.25">
      <c r="M345" s="66">
        <v>27</v>
      </c>
      <c r="N345" s="36">
        <f t="shared" si="316"/>
        <v>18620.871366628675</v>
      </c>
      <c r="O345" s="91" t="str">
        <f t="shared" si="317"/>
        <v>13,7404580152672</v>
      </c>
      <c r="P345" s="67" t="str">
        <f t="shared" si="318"/>
        <v>1+126,358256207897i</v>
      </c>
      <c r="Q345" s="67">
        <f t="shared" si="329"/>
        <v>126.36221314894946</v>
      </c>
      <c r="R345" s="67">
        <f t="shared" si="330"/>
        <v>1.5628824859931092</v>
      </c>
      <c r="S345" s="67" t="str">
        <f t="shared" si="319"/>
        <v>1+3,50995156133046i</v>
      </c>
      <c r="T345" s="67">
        <f t="shared" si="331"/>
        <v>3.6496246331487479</v>
      </c>
      <c r="U345" s="67">
        <f t="shared" si="332"/>
        <v>1.293245759733076</v>
      </c>
      <c r="V345" t="str">
        <f t="shared" si="320"/>
        <v>1-0,731239908610512i</v>
      </c>
      <c r="W345" s="67">
        <f t="shared" si="333"/>
        <v>1.2388348574143004</v>
      </c>
      <c r="X345" s="67">
        <f t="shared" si="334"/>
        <v>-0.6313861443519414</v>
      </c>
      <c r="Y345" t="str">
        <f t="shared" si="321"/>
        <v>0,977808841571038+1,26882218442667i</v>
      </c>
      <c r="Z345" s="67">
        <f t="shared" si="335"/>
        <v>1.6018801036119281</v>
      </c>
      <c r="AA345" s="67">
        <f t="shared" si="336"/>
        <v>0.91421411402239383</v>
      </c>
      <c r="AB345" s="92" t="str">
        <f t="shared" si="337"/>
        <v>-0,0742771878435869-0,297789562396224i</v>
      </c>
      <c r="AC345" s="37">
        <f t="shared" si="338"/>
        <v>-10.259688109998974</v>
      </c>
      <c r="AD345" s="60">
        <f t="shared" si="339"/>
        <v>-104.0054180356032</v>
      </c>
      <c r="AE345" t="str">
        <f t="shared" si="340"/>
        <v>21,0353732052265</v>
      </c>
      <c r="AF345" t="str">
        <f t="shared" si="322"/>
        <v>1+63,1791281039484i</v>
      </c>
      <c r="AG345">
        <f t="shared" si="341"/>
        <v>63.187041614362059</v>
      </c>
      <c r="AH345">
        <f t="shared" si="342"/>
        <v>1.5549696363370882</v>
      </c>
      <c r="AI345" t="str">
        <f t="shared" si="323"/>
        <v>1+3,50995156133046i</v>
      </c>
      <c r="AJ345">
        <f t="shared" si="343"/>
        <v>3.6496246331487479</v>
      </c>
      <c r="AK345">
        <f t="shared" si="344"/>
        <v>1.293245759733076</v>
      </c>
      <c r="AL345" t="str">
        <f t="shared" si="324"/>
        <v>1-0,238821954087354i</v>
      </c>
      <c r="AM345">
        <f t="shared" si="345"/>
        <v>1.0281225246798662</v>
      </c>
      <c r="AN345">
        <f t="shared" si="346"/>
        <v>-0.23443079724942142</v>
      </c>
      <c r="AO345" s="58" t="str">
        <f t="shared" si="347"/>
        <v>1,09852873455024-0,594655554993185i</v>
      </c>
      <c r="AP345">
        <f t="shared" si="348"/>
        <v>1.9323054485347011</v>
      </c>
      <c r="AQ345" s="60">
        <f t="shared" si="349"/>
        <v>-28.427568797491581</v>
      </c>
      <c r="AR345" t="str">
        <f t="shared" si="325"/>
        <v>-1,05811623246493</v>
      </c>
      <c r="AS345" t="str">
        <f t="shared" si="326"/>
        <v>1+3,4594082588473i</v>
      </c>
      <c r="AT345">
        <f t="shared" si="350"/>
        <v>3.6010422798657764</v>
      </c>
      <c r="AU345">
        <f t="shared" si="351"/>
        <v>1.2893999458217471</v>
      </c>
      <c r="AV345" t="str">
        <f t="shared" si="327"/>
        <v>1+3,4594082588473i</v>
      </c>
      <c r="AW345">
        <f t="shared" si="352"/>
        <v>3.6010422798657764</v>
      </c>
      <c r="AX345">
        <f t="shared" si="353"/>
        <v>1.2893999458217471</v>
      </c>
      <c r="AY345" t="str">
        <f t="shared" si="328"/>
        <v>1-0,00735806344609557i</v>
      </c>
      <c r="AZ345">
        <f t="shared" si="354"/>
        <v>1.000027070182441</v>
      </c>
      <c r="BA345">
        <f t="shared" si="355"/>
        <v>-7.3579306591984982E-3</v>
      </c>
      <c r="BB345" s="58" t="str">
        <f t="shared" si="356"/>
        <v>-0,079520487931904+0,282879519071016i</v>
      </c>
      <c r="BC345">
        <f t="shared" si="357"/>
        <v>-10.637661745479882</v>
      </c>
      <c r="BD345" s="60">
        <f t="shared" si="358"/>
        <v>105.70124662729492</v>
      </c>
      <c r="BE345" s="58" t="str">
        <f t="shared" si="359"/>
        <v>0,0901451264145439+0,00266887612763453i</v>
      </c>
      <c r="BF345" s="37">
        <f t="shared" si="360"/>
        <v>-20.897349855478854</v>
      </c>
      <c r="BG345" s="60">
        <f t="shared" si="361"/>
        <v>1.6958285916917228</v>
      </c>
      <c r="BH345" s="58" t="str">
        <f t="shared" si="362"/>
        <v>0,0808603364307281+0,358038579999739i</v>
      </c>
      <c r="BI345" s="37">
        <f t="shared" si="363"/>
        <v>-8.7053562969451797</v>
      </c>
      <c r="BJ345" s="60">
        <f t="shared" si="364"/>
        <v>77.273677829803361</v>
      </c>
      <c r="BK345">
        <f t="shared" si="365"/>
        <v>-20.897349855478854</v>
      </c>
      <c r="BL345" s="60">
        <f t="shared" si="366"/>
        <v>1.6958285916917228</v>
      </c>
      <c r="BN345">
        <f t="shared" si="367"/>
        <v>0</v>
      </c>
      <c r="BO345">
        <f t="shared" si="368"/>
        <v>0</v>
      </c>
    </row>
    <row r="346" spans="13:67" x14ac:dyDescent="0.25">
      <c r="M346" s="66">
        <v>28</v>
      </c>
      <c r="N346" s="36">
        <f t="shared" si="316"/>
        <v>19054.607179632505</v>
      </c>
      <c r="O346" s="91" t="str">
        <f t="shared" si="317"/>
        <v>13,7404580152672</v>
      </c>
      <c r="P346" s="67" t="str">
        <f t="shared" si="318"/>
        <v>1+129,301518094358i</v>
      </c>
      <c r="Q346" s="67">
        <f t="shared" si="329"/>
        <v>129.30538496716056</v>
      </c>
      <c r="R346" s="67">
        <f t="shared" si="330"/>
        <v>1.5630626197362592</v>
      </c>
      <c r="S346" s="67" t="str">
        <f t="shared" si="319"/>
        <v>1+3,59170883595438i</v>
      </c>
      <c r="T346" s="67">
        <f t="shared" si="331"/>
        <v>3.7283203137971883</v>
      </c>
      <c r="U346" s="67">
        <f t="shared" si="332"/>
        <v>1.2992542809998886</v>
      </c>
      <c r="V346" t="str">
        <f t="shared" si="320"/>
        <v>1-0,748272674157162i</v>
      </c>
      <c r="W346" s="67">
        <f t="shared" si="333"/>
        <v>1.24896436894345</v>
      </c>
      <c r="X346" s="67">
        <f t="shared" si="334"/>
        <v>-0.64239470336606663</v>
      </c>
      <c r="Y346" t="str">
        <f t="shared" si="321"/>
        <v>0,976763004494713+1,29837684977418i</v>
      </c>
      <c r="Z346" s="67">
        <f t="shared" si="335"/>
        <v>1.6247610319610273</v>
      </c>
      <c r="AA346" s="67">
        <f t="shared" si="336"/>
        <v>0.92582774399151757</v>
      </c>
      <c r="AB346" s="92" t="str">
        <f t="shared" si="337"/>
        <v>-0,0786570985912189-0,294217034116249i</v>
      </c>
      <c r="AC346" s="37">
        <f t="shared" si="338"/>
        <v>-10.326832613928683</v>
      </c>
      <c r="AD346" s="60">
        <f t="shared" si="339"/>
        <v>-104.96763198121803</v>
      </c>
      <c r="AE346" t="str">
        <f t="shared" si="340"/>
        <v>21,0353732052265</v>
      </c>
      <c r="AF346" t="str">
        <f t="shared" si="322"/>
        <v>1+64,6507590471789i</v>
      </c>
      <c r="AG346">
        <f t="shared" si="341"/>
        <v>64.658492445899043</v>
      </c>
      <c r="AH346">
        <f t="shared" si="342"/>
        <v>1.5553298376764917</v>
      </c>
      <c r="AI346" t="str">
        <f t="shared" si="323"/>
        <v>1+3,59170883595438i</v>
      </c>
      <c r="AJ346">
        <f t="shared" si="343"/>
        <v>3.7283203137971883</v>
      </c>
      <c r="AK346">
        <f t="shared" si="344"/>
        <v>1.2992542809998886</v>
      </c>
      <c r="AL346" t="str">
        <f t="shared" si="324"/>
        <v>1-0,244384832020388i</v>
      </c>
      <c r="AM346">
        <f t="shared" si="345"/>
        <v>1.029428941754424</v>
      </c>
      <c r="AN346">
        <f t="shared" si="346"/>
        <v>-0.23968685685811744</v>
      </c>
      <c r="AO346" s="58" t="str">
        <f t="shared" si="347"/>
        <v>1,09830398991593-0,593976951045085i</v>
      </c>
      <c r="AP346">
        <f t="shared" si="348"/>
        <v>1.9286847636028004</v>
      </c>
      <c r="AQ346" s="60">
        <f t="shared" si="349"/>
        <v>-28.405093936758782</v>
      </c>
      <c r="AR346" t="str">
        <f t="shared" si="325"/>
        <v>-1,05811623246493</v>
      </c>
      <c r="AS346" t="str">
        <f t="shared" si="326"/>
        <v>1+3,53998822871664i</v>
      </c>
      <c r="AT346">
        <f t="shared" si="350"/>
        <v>3.6785209880402174</v>
      </c>
      <c r="AU346">
        <f t="shared" si="351"/>
        <v>1.2954830929484331</v>
      </c>
      <c r="AV346" t="str">
        <f t="shared" si="327"/>
        <v>1+3,53998822871664i</v>
      </c>
      <c r="AW346">
        <f t="shared" si="352"/>
        <v>3.6785209880402174</v>
      </c>
      <c r="AX346">
        <f t="shared" si="353"/>
        <v>1.2954830929484331</v>
      </c>
      <c r="AY346" t="str">
        <f t="shared" si="328"/>
        <v>1-0,00719057347367891i</v>
      </c>
      <c r="AZ346">
        <f t="shared" si="354"/>
        <v>1.0000258518392815</v>
      </c>
      <c r="BA346">
        <f t="shared" si="355"/>
        <v>-7.1904495495549526E-3</v>
      </c>
      <c r="BB346" s="58" t="str">
        <f t="shared" si="356"/>
        <v>-0,0762059708960364+0,277376702443123i</v>
      </c>
      <c r="BC346">
        <f t="shared" si="357"/>
        <v>-10.822572684089772</v>
      </c>
      <c r="BD346" s="60">
        <f t="shared" si="358"/>
        <v>105.36230393150942</v>
      </c>
      <c r="BE346" s="58" t="str">
        <f t="shared" si="359"/>
        <v>0,0876030912917701+0,000603448108005101i</v>
      </c>
      <c r="BF346" s="37">
        <f t="shared" si="360"/>
        <v>-21.149405298018454</v>
      </c>
      <c r="BG346" s="60">
        <f t="shared" si="361"/>
        <v>0.39467195029137719</v>
      </c>
      <c r="BH346" s="58" t="str">
        <f t="shared" si="362"/>
        <v>0,081058046117572+0,349908529247264i</v>
      </c>
      <c r="BI346" s="37">
        <f t="shared" si="363"/>
        <v>-8.8938879204869643</v>
      </c>
      <c r="BJ346" s="60">
        <f t="shared" si="364"/>
        <v>76.957209994750642</v>
      </c>
      <c r="BK346">
        <f t="shared" si="365"/>
        <v>-21.149405298018454</v>
      </c>
      <c r="BL346" s="60">
        <f t="shared" si="366"/>
        <v>0.39467195029137719</v>
      </c>
      <c r="BN346">
        <f t="shared" si="367"/>
        <v>0</v>
      </c>
      <c r="BO346">
        <f t="shared" si="368"/>
        <v>0</v>
      </c>
    </row>
    <row r="347" spans="13:67" x14ac:dyDescent="0.25">
      <c r="M347" s="66">
        <v>29</v>
      </c>
      <c r="N347" s="36">
        <f t="shared" si="316"/>
        <v>19498.445997580486</v>
      </c>
      <c r="O347" s="91" t="str">
        <f t="shared" si="317"/>
        <v>13,7404580152672</v>
      </c>
      <c r="P347" s="67" t="str">
        <f t="shared" si="318"/>
        <v>1+132,313337357219i</v>
      </c>
      <c r="Q347" s="67">
        <f t="shared" si="329"/>
        <v>132.31711621179343</v>
      </c>
      <c r="R347" s="67">
        <f t="shared" si="330"/>
        <v>1.5632386536197944</v>
      </c>
      <c r="S347" s="67" t="str">
        <f t="shared" si="319"/>
        <v>1+3,67537048214496i</v>
      </c>
      <c r="T347" s="67">
        <f t="shared" si="331"/>
        <v>3.8089825650720002</v>
      </c>
      <c r="U347" s="67">
        <f t="shared" si="332"/>
        <v>1.3051455210069942</v>
      </c>
      <c r="V347" t="str">
        <f t="shared" si="320"/>
        <v>1-0,7657021837802i</v>
      </c>
      <c r="W347" s="67">
        <f t="shared" si="333"/>
        <v>1.259483955533284</v>
      </c>
      <c r="X347" s="67">
        <f t="shared" si="334"/>
        <v>-0.65347499948240717</v>
      </c>
      <c r="Y347" t="str">
        <f t="shared" si="321"/>
        <v>0,975667878635484+1,32861993171347i</v>
      </c>
      <c r="Z347" s="67">
        <f t="shared" si="335"/>
        <v>1.6483806393995808</v>
      </c>
      <c r="AA347" s="67">
        <f t="shared" si="336"/>
        <v>0.93738872324523104</v>
      </c>
      <c r="AB347" s="92" t="str">
        <f t="shared" si="337"/>
        <v>-0,0829869539732217-0,290607398113294i</v>
      </c>
      <c r="AC347" s="37">
        <f t="shared" si="338"/>
        <v>-10.393413968654837</v>
      </c>
      <c r="AD347" s="60">
        <f t="shared" si="339"/>
        <v>-105.93742431278793</v>
      </c>
      <c r="AE347" t="str">
        <f t="shared" si="340"/>
        <v>21,0353732052265</v>
      </c>
      <c r="AF347" t="str">
        <f t="shared" si="322"/>
        <v>1+66,1566686786093i</v>
      </c>
      <c r="AG347">
        <f t="shared" si="341"/>
        <v>66.164226064024078</v>
      </c>
      <c r="AH347">
        <f t="shared" si="342"/>
        <v>1.5556818437108366</v>
      </c>
      <c r="AI347" t="str">
        <f t="shared" si="323"/>
        <v>1+3,67537048214496i</v>
      </c>
      <c r="AJ347">
        <f t="shared" si="343"/>
        <v>3.8089825650720002</v>
      </c>
      <c r="AK347">
        <f t="shared" si="344"/>
        <v>1.3051455210069942</v>
      </c>
      <c r="AL347" t="str">
        <f t="shared" si="324"/>
        <v>1-0,25007728602617i</v>
      </c>
      <c r="AM347">
        <f t="shared" si="345"/>
        <v>1.0307951537459878</v>
      </c>
      <c r="AN347">
        <f t="shared" si="346"/>
        <v>-0.24505140159332717</v>
      </c>
      <c r="AO347" s="58" t="str">
        <f t="shared" si="347"/>
        <v>1,09808935572629-0,59361296860975i</v>
      </c>
      <c r="AP347">
        <f t="shared" si="348"/>
        <v>1.9261667513976151</v>
      </c>
      <c r="AQ347" s="60">
        <f t="shared" si="349"/>
        <v>-28.395084980720807</v>
      </c>
      <c r="AR347" t="str">
        <f t="shared" si="325"/>
        <v>-1,05811623246493</v>
      </c>
      <c r="AS347" t="str">
        <f t="shared" si="326"/>
        <v>1+3,62244514720207i</v>
      </c>
      <c r="AT347">
        <f t="shared" si="350"/>
        <v>3.757939441301287</v>
      </c>
      <c r="AU347">
        <f t="shared" si="351"/>
        <v>1.301448040928513</v>
      </c>
      <c r="AV347" t="str">
        <f t="shared" si="327"/>
        <v>1+3,62244514720207i</v>
      </c>
      <c r="AW347">
        <f t="shared" si="352"/>
        <v>3.757939441301287</v>
      </c>
      <c r="AX347">
        <f t="shared" si="353"/>
        <v>1.301448040928513</v>
      </c>
      <c r="AY347" t="str">
        <f t="shared" si="328"/>
        <v>1-0,00702689603849659i</v>
      </c>
      <c r="AZ347">
        <f t="shared" si="354"/>
        <v>1.000024688329211</v>
      </c>
      <c r="BA347">
        <f t="shared" si="355"/>
        <v>-7.0267803856134611E-3</v>
      </c>
      <c r="BB347" s="58" t="str">
        <f t="shared" si="356"/>
        <v>-0,0730190070112618+0,271942620363636i</v>
      </c>
      <c r="BC347">
        <f t="shared" si="357"/>
        <v>-11.008113568787142</v>
      </c>
      <c r="BD347" s="60">
        <f t="shared" si="358"/>
        <v>105.02991513956603</v>
      </c>
      <c r="BE347" s="58" t="str">
        <f t="shared" si="359"/>
        <v>0,0850881623140015-0,0013478260791152i</v>
      </c>
      <c r="BF347" s="37">
        <f t="shared" si="360"/>
        <v>-21.401527537441968</v>
      </c>
      <c r="BG347" s="60">
        <f t="shared" si="361"/>
        <v>-0.90750917322190949</v>
      </c>
      <c r="BH347" s="58" t="str">
        <f t="shared" si="362"/>
        <v>0,0812472718008023+0,341962326306515i</v>
      </c>
      <c r="BI347" s="37">
        <f t="shared" si="363"/>
        <v>-9.0819468173895341</v>
      </c>
      <c r="BJ347" s="60">
        <f t="shared" si="364"/>
        <v>76.634830158845205</v>
      </c>
      <c r="BK347">
        <f t="shared" si="365"/>
        <v>-21.401527537441968</v>
      </c>
      <c r="BL347" s="60">
        <f t="shared" si="366"/>
        <v>-0.90750917322190949</v>
      </c>
      <c r="BN347">
        <f t="shared" si="367"/>
        <v>0</v>
      </c>
      <c r="BO347">
        <f t="shared" si="368"/>
        <v>0</v>
      </c>
    </row>
    <row r="348" spans="13:67" x14ac:dyDescent="0.25">
      <c r="M348" s="66">
        <v>30</v>
      </c>
      <c r="N348" s="36">
        <f t="shared" si="316"/>
        <v>19952.623149688792</v>
      </c>
      <c r="O348" s="91" t="str">
        <f t="shared" si="317"/>
        <v>13,7404580152672</v>
      </c>
      <c r="P348" s="67" t="str">
        <f t="shared" si="318"/>
        <v>1+135,395310902921i</v>
      </c>
      <c r="Q348" s="67">
        <f t="shared" si="329"/>
        <v>135.39900374263706</v>
      </c>
      <c r="R348" s="67">
        <f t="shared" si="330"/>
        <v>1.5634106809355461</v>
      </c>
      <c r="S348" s="67" t="str">
        <f t="shared" si="319"/>
        <v>1+3,76098085841448i</v>
      </c>
      <c r="T348" s="67">
        <f t="shared" si="331"/>
        <v>3.8916547916484214</v>
      </c>
      <c r="U348" s="67">
        <f t="shared" si="332"/>
        <v>1.3109209669877548</v>
      </c>
      <c r="V348" t="str">
        <f t="shared" si="320"/>
        <v>1-0,78353767883635i</v>
      </c>
      <c r="W348" s="67">
        <f t="shared" si="333"/>
        <v>1.2704059564392223</v>
      </c>
      <c r="X348" s="67">
        <f t="shared" si="334"/>
        <v>-0.66462202516432289</v>
      </c>
      <c r="Y348" t="str">
        <f t="shared" si="321"/>
        <v>0,974521141084576+1,35956746552693i</v>
      </c>
      <c r="Z348" s="67">
        <f t="shared" si="335"/>
        <v>1.6727567509175101</v>
      </c>
      <c r="AA348" s="67">
        <f t="shared" si="336"/>
        <v>0.94889212666514589</v>
      </c>
      <c r="AB348" s="92" t="str">
        <f t="shared" si="337"/>
        <v>-0,0872631432461608-0,286962085818477i</v>
      </c>
      <c r="AC348" s="37">
        <f t="shared" si="338"/>
        <v>-10.459404400931803</v>
      </c>
      <c r="AD348" s="60">
        <f t="shared" si="339"/>
        <v>-106.91414606413319</v>
      </c>
      <c r="AE348" t="str">
        <f t="shared" si="340"/>
        <v>21,0353732052265</v>
      </c>
      <c r="AF348" t="str">
        <f t="shared" si="322"/>
        <v>1+67,6976554514607i</v>
      </c>
      <c r="AG348">
        <f t="shared" si="341"/>
        <v>67.705040828764638</v>
      </c>
      <c r="AH348">
        <f t="shared" si="342"/>
        <v>1.5560258407292502</v>
      </c>
      <c r="AI348" t="str">
        <f t="shared" si="323"/>
        <v>1+3,76098085841448i</v>
      </c>
      <c r="AJ348">
        <f t="shared" si="343"/>
        <v>3.8916547916484214</v>
      </c>
      <c r="AK348">
        <f t="shared" si="344"/>
        <v>1.3109209669877548</v>
      </c>
      <c r="AL348" t="str">
        <f t="shared" si="324"/>
        <v>1-0,25590233431917i</v>
      </c>
      <c r="AM348">
        <f t="shared" si="345"/>
        <v>1.0322238152212921</v>
      </c>
      <c r="AN348">
        <f t="shared" si="346"/>
        <v>-0.25052604021444447</v>
      </c>
      <c r="AO348" s="58" t="str">
        <f t="shared" si="347"/>
        <v>1,09788437735242-0,593563435576097i</v>
      </c>
      <c r="AP348">
        <f t="shared" si="348"/>
        <v>1.9247480272349617</v>
      </c>
      <c r="AQ348" s="60">
        <f t="shared" si="349"/>
        <v>-28.397559565886965</v>
      </c>
      <c r="AR348" t="str">
        <f t="shared" si="325"/>
        <v>-1,05811623246493</v>
      </c>
      <c r="AS348" t="str">
        <f t="shared" si="326"/>
        <v>1+3,70682273405331i</v>
      </c>
      <c r="AT348">
        <f t="shared" si="350"/>
        <v>3.8393404097181141</v>
      </c>
      <c r="AU348">
        <f t="shared" si="351"/>
        <v>1.3072962538915742</v>
      </c>
      <c r="AV348" t="str">
        <f t="shared" si="327"/>
        <v>1+3,70682273405331i</v>
      </c>
      <c r="AW348">
        <f t="shared" si="352"/>
        <v>3.8393404097181141</v>
      </c>
      <c r="AX348">
        <f t="shared" si="353"/>
        <v>1.3072962538915742</v>
      </c>
      <c r="AY348" t="str">
        <f t="shared" si="328"/>
        <v>1-0,00686694435660579i</v>
      </c>
      <c r="AZ348">
        <f t="shared" si="354"/>
        <v>1.0000235771844566</v>
      </c>
      <c r="BA348">
        <f t="shared" si="355"/>
        <v>-6.8668364229112966E-3</v>
      </c>
      <c r="BB348" s="58" t="str">
        <f t="shared" si="356"/>
        <v>-0,0699555599577048+0,266578885315807i</v>
      </c>
      <c r="BC348">
        <f t="shared" si="357"/>
        <v>-11.194260074064232</v>
      </c>
      <c r="BD348" s="60">
        <f t="shared" si="358"/>
        <v>104.70400133311038</v>
      </c>
      <c r="BE348" s="58" t="str">
        <f t="shared" si="359"/>
        <v>0,0826025750148431-0,00318791805565264i</v>
      </c>
      <c r="BF348" s="37">
        <f t="shared" si="360"/>
        <v>-21.653664474996038</v>
      </c>
      <c r="BG348" s="60">
        <f t="shared" si="361"/>
        <v>-2.2101447310228219</v>
      </c>
      <c r="BH348" s="58" t="str">
        <f t="shared" si="362"/>
        <v>0,0814283626335921+0,334195856026392i</v>
      </c>
      <c r="BI348" s="37">
        <f t="shared" si="363"/>
        <v>-9.2695120468292682</v>
      </c>
      <c r="BJ348" s="60">
        <f t="shared" si="364"/>
        <v>76.306441767223433</v>
      </c>
      <c r="BK348">
        <f t="shared" si="365"/>
        <v>-21.653664474996038</v>
      </c>
      <c r="BL348" s="60">
        <f t="shared" si="366"/>
        <v>-2.2101447310228219</v>
      </c>
      <c r="BN348">
        <f t="shared" si="367"/>
        <v>0</v>
      </c>
      <c r="BO348">
        <f t="shared" si="368"/>
        <v>0</v>
      </c>
    </row>
    <row r="349" spans="13:67" x14ac:dyDescent="0.25">
      <c r="M349" s="66">
        <v>31</v>
      </c>
      <c r="N349" s="36">
        <f t="shared" si="316"/>
        <v>20417.379446695286</v>
      </c>
      <c r="O349" s="91" t="str">
        <f t="shared" si="317"/>
        <v>13,7404580152672</v>
      </c>
      <c r="P349" s="67" t="str">
        <f t="shared" si="318"/>
        <v>1+138,549072834633i</v>
      </c>
      <c r="Q349" s="67">
        <f t="shared" si="329"/>
        <v>138.55268161726949</v>
      </c>
      <c r="R349" s="67">
        <f t="shared" si="330"/>
        <v>1.5635787928539235</v>
      </c>
      <c r="S349" s="67" t="str">
        <f t="shared" si="319"/>
        <v>1+3,84858535651758i</v>
      </c>
      <c r="T349" s="67">
        <f t="shared" si="331"/>
        <v>3.976381426171482</v>
      </c>
      <c r="U349" s="67">
        <f t="shared" si="332"/>
        <v>1.3165821393760295</v>
      </c>
      <c r="V349" t="str">
        <f t="shared" si="320"/>
        <v>1-0,801788615941162i</v>
      </c>
      <c r="W349" s="67">
        <f t="shared" si="333"/>
        <v>1.2817429479629854</v>
      </c>
      <c r="X349" s="67">
        <f t="shared" si="334"/>
        <v>-0.67583061053742344</v>
      </c>
      <c r="Y349" t="str">
        <f t="shared" si="321"/>
        <v>0,973320359457899+1,39123586000661i</v>
      </c>
      <c r="Z349" s="67">
        <f t="shared" si="335"/>
        <v>1.6979074592873387</v>
      </c>
      <c r="AA349" s="67">
        <f t="shared" si="336"/>
        <v>0.96033319798335248</v>
      </c>
      <c r="AB349" s="92" t="str">
        <f t="shared" si="337"/>
        <v>-0,0914822486343552-0,283282727425784i</v>
      </c>
      <c r="AC349" s="37">
        <f t="shared" si="338"/>
        <v>-10.52477538793479</v>
      </c>
      <c r="AD349" s="60">
        <f t="shared" si="339"/>
        <v>-107.89714661843007</v>
      </c>
      <c r="AE349" t="str">
        <f t="shared" si="340"/>
        <v>21,0353732052265</v>
      </c>
      <c r="AF349" t="str">
        <f t="shared" si="322"/>
        <v>1+69,2745364173165i</v>
      </c>
      <c r="AG349">
        <f t="shared" si="341"/>
        <v>69.281753700625316</v>
      </c>
      <c r="AH349">
        <f t="shared" si="342"/>
        <v>1.5563620107976657</v>
      </c>
      <c r="AI349" t="str">
        <f t="shared" si="323"/>
        <v>1+3,84858535651758i</v>
      </c>
      <c r="AJ349">
        <f t="shared" si="343"/>
        <v>3.976381426171482</v>
      </c>
      <c r="AK349">
        <f t="shared" si="344"/>
        <v>1.3165821393760295</v>
      </c>
      <c r="AL349" t="str">
        <f t="shared" si="324"/>
        <v>1-0,261863065417093i</v>
      </c>
      <c r="AM349">
        <f t="shared" si="345"/>
        <v>1.0337176911660344</v>
      </c>
      <c r="AN349">
        <f t="shared" si="346"/>
        <v>-0.25611236221765121</v>
      </c>
      <c r="AO349" s="58" t="str">
        <f t="shared" si="347"/>
        <v>1,09768862059049-0,593828345165836i</v>
      </c>
      <c r="AP349">
        <f t="shared" si="348"/>
        <v>1.9244266949093669</v>
      </c>
      <c r="AQ349" s="60">
        <f t="shared" si="349"/>
        <v>-28.412532080846482</v>
      </c>
      <c r="AR349" t="str">
        <f t="shared" si="325"/>
        <v>-1,05811623246493</v>
      </c>
      <c r="AS349" t="str">
        <f t="shared" si="326"/>
        <v>1+3,79316572738373i</v>
      </c>
      <c r="AT349">
        <f t="shared" si="350"/>
        <v>3.9227676754300069</v>
      </c>
      <c r="AU349">
        <f t="shared" si="351"/>
        <v>1.3130292318464081</v>
      </c>
      <c r="AV349" t="str">
        <f t="shared" si="327"/>
        <v>1+3,79316572738373i</v>
      </c>
      <c r="AW349">
        <f t="shared" si="352"/>
        <v>3.9227676754300069</v>
      </c>
      <c r="AX349">
        <f t="shared" si="353"/>
        <v>1.3130292318464081</v>
      </c>
      <c r="AY349" t="str">
        <f t="shared" si="328"/>
        <v>1-0,00671063361950765i</v>
      </c>
      <c r="AZ349">
        <f t="shared" si="354"/>
        <v>1.0000225160483014</v>
      </c>
      <c r="BA349">
        <f t="shared" si="355"/>
        <v>-6.7105328897947994E-3</v>
      </c>
      <c r="BB349" s="58" t="str">
        <f t="shared" si="356"/>
        <v>-0,0670116484091684+0,261286918444072i</v>
      </c>
      <c r="BC349">
        <f t="shared" si="357"/>
        <v>-11.380988651071508</v>
      </c>
      <c r="BD349" s="60">
        <f t="shared" si="358"/>
        <v>104.38448142502739</v>
      </c>
      <c r="BE349" s="58" t="str">
        <f t="shared" si="359"/>
        <v>0,0801484471786806-0,00491987230735816i</v>
      </c>
      <c r="BF349" s="37">
        <f t="shared" si="360"/>
        <v>-21.905764039006304</v>
      </c>
      <c r="BG349" s="60">
        <f t="shared" si="361"/>
        <v>-3.5126651934027007</v>
      </c>
      <c r="BH349" s="58" t="str">
        <f t="shared" si="362"/>
        <v>0,0816016544873691+0,326605093366865i</v>
      </c>
      <c r="BI349" s="37">
        <f t="shared" si="363"/>
        <v>-9.4565619561621315</v>
      </c>
      <c r="BJ349" s="60">
        <f t="shared" si="364"/>
        <v>75.971949344180913</v>
      </c>
      <c r="BK349">
        <f t="shared" si="365"/>
        <v>-21.905764039006304</v>
      </c>
      <c r="BL349" s="60">
        <f t="shared" si="366"/>
        <v>-3.5126651934027007</v>
      </c>
      <c r="BN349">
        <f t="shared" si="367"/>
        <v>0</v>
      </c>
      <c r="BO349">
        <f t="shared" si="368"/>
        <v>0</v>
      </c>
    </row>
    <row r="350" spans="13:67" x14ac:dyDescent="0.25">
      <c r="M350" s="66">
        <v>32</v>
      </c>
      <c r="N350" s="36">
        <f t="shared" si="316"/>
        <v>20892.961308540423</v>
      </c>
      <c r="O350" s="91" t="str">
        <f t="shared" si="317"/>
        <v>13,7404580152672</v>
      </c>
      <c r="P350" s="67" t="str">
        <f t="shared" si="318"/>
        <v>1+141,776295318676i</v>
      </c>
      <c r="Q350" s="67">
        <f t="shared" si="329"/>
        <v>141.77982195745778</v>
      </c>
      <c r="R350" s="67">
        <f t="shared" si="330"/>
        <v>1.5637430784720605</v>
      </c>
      <c r="S350" s="67" t="str">
        <f t="shared" si="319"/>
        <v>1+3,93823042551879i</v>
      </c>
      <c r="T350" s="67">
        <f t="shared" si="331"/>
        <v>4.0632079548654545</v>
      </c>
      <c r="U350" s="67">
        <f t="shared" si="332"/>
        <v>1.3221305877256981</v>
      </c>
      <c r="V350" t="str">
        <f t="shared" si="320"/>
        <v>1-0,820464671983081i</v>
      </c>
      <c r="W350" s="67">
        <f t="shared" si="333"/>
        <v>1.2935077417519791</v>
      </c>
      <c r="X350" s="67">
        <f t="shared" si="334"/>
        <v>-0.6870954338574069</v>
      </c>
      <c r="Y350" t="str">
        <f t="shared" si="321"/>
        <v>0,972062986736629+1,42364190615446i</v>
      </c>
      <c r="Z350" s="67">
        <f t="shared" si="335"/>
        <v>1.7238511325350692</v>
      </c>
      <c r="AA350" s="67">
        <f t="shared" si="336"/>
        <v>0.97170735931868457</v>
      </c>
      <c r="AB350" s="92" t="str">
        <f t="shared" si="337"/>
        <v>-0,0956410545900885-0,279571134865643i</v>
      </c>
      <c r="AC350" s="37">
        <f t="shared" si="338"/>
        <v>-10.589497865940396</v>
      </c>
      <c r="AD350" s="60">
        <f t="shared" si="339"/>
        <v>-108.88577509091263</v>
      </c>
      <c r="AE350" t="str">
        <f t="shared" si="340"/>
        <v>21,0353732052265</v>
      </c>
      <c r="AF350" t="str">
        <f t="shared" si="322"/>
        <v>1+70,8881476593383i</v>
      </c>
      <c r="AG350">
        <f t="shared" si="341"/>
        <v>70.895200673756122</v>
      </c>
      <c r="AH350">
        <f t="shared" si="342"/>
        <v>1.5566905318538036</v>
      </c>
      <c r="AI350" t="str">
        <f t="shared" si="323"/>
        <v>1+3,93823042551879i</v>
      </c>
      <c r="AJ350">
        <f t="shared" si="343"/>
        <v>4.0632079548654545</v>
      </c>
      <c r="AK350">
        <f t="shared" si="344"/>
        <v>1.3221305877256981</v>
      </c>
      <c r="AL350" t="str">
        <f t="shared" si="324"/>
        <v>1-0,267962639778469i</v>
      </c>
      <c r="AM350">
        <f t="shared" si="345"/>
        <v>1.0352796609211665</v>
      </c>
      <c r="AN350">
        <f t="shared" si="346"/>
        <v>-0.26181193430285032</v>
      </c>
      <c r="AO350" s="58" t="str">
        <f t="shared" si="347"/>
        <v>1,09750167074569-0,594407856022705i</v>
      </c>
      <c r="AP350">
        <f t="shared" si="348"/>
        <v>1.9252023492903874</v>
      </c>
      <c r="AQ350" s="60">
        <f t="shared" si="349"/>
        <v>-28.440013703074435</v>
      </c>
      <c r="AR350" t="str">
        <f t="shared" si="325"/>
        <v>-1,05811623246493</v>
      </c>
      <c r="AS350" t="str">
        <f t="shared" si="326"/>
        <v>1+3,88151990739132i</v>
      </c>
      <c r="AT350">
        <f t="shared" si="350"/>
        <v>4.0082660579700944</v>
      </c>
      <c r="AU350">
        <f t="shared" si="351"/>
        <v>1.3186485064677589</v>
      </c>
      <c r="AV350" t="str">
        <f t="shared" si="327"/>
        <v>1+3,88151990739132i</v>
      </c>
      <c r="AW350">
        <f t="shared" si="352"/>
        <v>4.0082660579700944</v>
      </c>
      <c r="AX350">
        <f t="shared" si="353"/>
        <v>1.3186485064677589</v>
      </c>
      <c r="AY350" t="str">
        <f t="shared" si="328"/>
        <v>1-0,00655788094918025i</v>
      </c>
      <c r="AZ350">
        <f t="shared" si="354"/>
        <v>1.0000215026700894</v>
      </c>
      <c r="BA350">
        <f t="shared" si="355"/>
        <v>-6.5577869426281998E-3</v>
      </c>
      <c r="BB350" s="58" t="str">
        <f t="shared" si="356"/>
        <v>-0,0641833520473628+0,256067958977844i</v>
      </c>
      <c r="BC350">
        <f t="shared" si="357"/>
        <v>-11.568276516400189</v>
      </c>
      <c r="BD350" s="60">
        <f t="shared" si="358"/>
        <v>104.0712724034094</v>
      </c>
      <c r="BE350" s="58" t="str">
        <f t="shared" si="359"/>
        <v>0,0777277733711015-0,00654679707201021i</v>
      </c>
      <c r="BF350" s="37">
        <f t="shared" si="360"/>
        <v>-22.15777438234058</v>
      </c>
      <c r="BG350" s="60">
        <f t="shared" si="361"/>
        <v>-4.8145026875032313</v>
      </c>
      <c r="BH350" s="58" t="str">
        <f t="shared" si="362"/>
        <v>0,0817674703860908+0,319186101485446i</v>
      </c>
      <c r="BI350" s="37">
        <f t="shared" si="363"/>
        <v>-9.6430741671098001</v>
      </c>
      <c r="BJ350" s="60">
        <f t="shared" si="364"/>
        <v>75.631258700334968</v>
      </c>
      <c r="BK350">
        <f t="shared" si="365"/>
        <v>-22.15777438234058</v>
      </c>
      <c r="BL350" s="60">
        <f t="shared" si="366"/>
        <v>-4.8145026875032313</v>
      </c>
      <c r="BN350">
        <f t="shared" si="367"/>
        <v>0</v>
      </c>
      <c r="BO350">
        <f t="shared" si="368"/>
        <v>0</v>
      </c>
    </row>
    <row r="351" spans="13:67" x14ac:dyDescent="0.25">
      <c r="M351" s="66">
        <v>33</v>
      </c>
      <c r="N351" s="36">
        <f t="shared" si="316"/>
        <v>21379.620895022348</v>
      </c>
      <c r="O351" s="91" t="str">
        <f t="shared" si="317"/>
        <v>13,7404580152672</v>
      </c>
      <c r="P351" s="67" t="str">
        <f t="shared" si="318"/>
        <v>1+145,078689471128i</v>
      </c>
      <c r="Q351" s="67">
        <f t="shared" si="329"/>
        <v>145.08213583573956</v>
      </c>
      <c r="R351" s="67">
        <f t="shared" si="330"/>
        <v>1.5639036248608735</v>
      </c>
      <c r="S351" s="67" t="str">
        <f t="shared" si="319"/>
        <v>1+4,02996359642022i</v>
      </c>
      <c r="T351" s="67">
        <f t="shared" si="331"/>
        <v>4.1521809436092978</v>
      </c>
      <c r="U351" s="67">
        <f t="shared" si="332"/>
        <v>1.3275678868387175</v>
      </c>
      <c r="V351" t="str">
        <f t="shared" si="320"/>
        <v>1-0,839575749254213i</v>
      </c>
      <c r="W351" s="67">
        <f t="shared" si="333"/>
        <v>1.3057133830729366</v>
      </c>
      <c r="X351" s="67">
        <f t="shared" si="334"/>
        <v>-0.69841103285986306</v>
      </c>
      <c r="Y351" t="str">
        <f t="shared" si="321"/>
        <v>0,970746355864648+1,45680278608507i</v>
      </c>
      <c r="Z351" s="67">
        <f t="shared" si="335"/>
        <v>1.7506064220634279</v>
      </c>
      <c r="AA351" s="67">
        <f t="shared" si="336"/>
        <v>0.98301021975760305</v>
      </c>
      <c r="AB351" s="92" t="str">
        <f t="shared" si="337"/>
        <v>-0,0997365555040505-0,275829284348796i</v>
      </c>
      <c r="AC351" s="37">
        <f t="shared" si="338"/>
        <v>-10.653542438414927</v>
      </c>
      <c r="AD351" s="60">
        <f t="shared" si="339"/>
        <v>-109.87938169536011</v>
      </c>
      <c r="AE351" t="str">
        <f t="shared" si="340"/>
        <v>21,0353732052265</v>
      </c>
      <c r="AF351" t="str">
        <f t="shared" si="322"/>
        <v>1+72,539344735564i</v>
      </c>
      <c r="AG351">
        <f t="shared" si="341"/>
        <v>72.546237219203846</v>
      </c>
      <c r="AH351">
        <f t="shared" si="342"/>
        <v>1.5570115778000648</v>
      </c>
      <c r="AI351" t="str">
        <f t="shared" si="323"/>
        <v>1+4,02996359642022i</v>
      </c>
      <c r="AJ351">
        <f t="shared" si="343"/>
        <v>4.1521809436092978</v>
      </c>
      <c r="AK351">
        <f t="shared" si="344"/>
        <v>1.3275678868387175</v>
      </c>
      <c r="AL351" t="str">
        <f t="shared" si="324"/>
        <v>1-0,274204291478359i</v>
      </c>
      <c r="AM351">
        <f t="shared" si="345"/>
        <v>1.0369127222023795</v>
      </c>
      <c r="AN351">
        <f t="shared" si="346"/>
        <v>-0.26762629663805743</v>
      </c>
      <c r="AO351" s="58" t="str">
        <f t="shared" si="347"/>
        <v>1,0973231317571-0,595302292383238i</v>
      </c>
      <c r="AP351">
        <f t="shared" si="348"/>
        <v>1.9270760771084277</v>
      </c>
      <c r="AQ351" s="60">
        <f t="shared" si="349"/>
        <v>-28.480012412066156</v>
      </c>
      <c r="AR351" t="str">
        <f t="shared" si="325"/>
        <v>-1,05811623246493</v>
      </c>
      <c r="AS351" t="str">
        <f t="shared" si="326"/>
        <v>1+3,97193212063177i</v>
      </c>
      <c r="AT351">
        <f t="shared" si="350"/>
        <v>4.0958814400451571</v>
      </c>
      <c r="AU351">
        <f t="shared" si="351"/>
        <v>1.3241556370933516</v>
      </c>
      <c r="AV351" t="str">
        <f t="shared" si="327"/>
        <v>1+3,97193212063177i</v>
      </c>
      <c r="AW351">
        <f t="shared" si="352"/>
        <v>4.0958814400451571</v>
      </c>
      <c r="AX351">
        <f t="shared" si="353"/>
        <v>1.3241556370933516</v>
      </c>
      <c r="AY351" t="str">
        <f t="shared" si="328"/>
        <v>1-0,00640860535413598i</v>
      </c>
      <c r="AZ351">
        <f t="shared" si="354"/>
        <v>1.0000205349004514</v>
      </c>
      <c r="BA351">
        <f t="shared" si="355"/>
        <v>-6.4085176220150912E-3</v>
      </c>
      <c r="BB351" s="58" t="str">
        <f t="shared" si="356"/>
        <v>-0,0614668168479367+0,250923073543983i</v>
      </c>
      <c r="BC351">
        <f t="shared" si="357"/>
        <v>-11.756101639766424</v>
      </c>
      <c r="BD351" s="60">
        <f t="shared" si="358"/>
        <v>103.76428956341758</v>
      </c>
      <c r="BE351" s="58" t="str">
        <f t="shared" si="359"/>
        <v>0,0753424203924487-0,00807185494940151i</v>
      </c>
      <c r="BF351" s="37">
        <f t="shared" si="360"/>
        <v>-22.409644078181348</v>
      </c>
      <c r="BG351" s="60">
        <f t="shared" si="361"/>
        <v>-6.1150921319425224</v>
      </c>
      <c r="BH351" s="58" t="str">
        <f t="shared" si="362"/>
        <v>0,0819261209298629+0,311935029866478i</v>
      </c>
      <c r="BI351" s="37">
        <f t="shared" si="363"/>
        <v>-9.8290255626579945</v>
      </c>
      <c r="BJ351" s="60">
        <f t="shared" si="364"/>
        <v>75.284277151351432</v>
      </c>
      <c r="BK351">
        <f t="shared" si="365"/>
        <v>-22.409644078181348</v>
      </c>
      <c r="BL351" s="60">
        <f t="shared" si="366"/>
        <v>-6.1150921319425224</v>
      </c>
      <c r="BN351">
        <f t="shared" si="367"/>
        <v>0</v>
      </c>
      <c r="BO351">
        <f t="shared" si="368"/>
        <v>0</v>
      </c>
    </row>
    <row r="352" spans="13:67" x14ac:dyDescent="0.25">
      <c r="M352" s="66">
        <v>34</v>
      </c>
      <c r="N352" s="36">
        <f t="shared" si="316"/>
        <v>21877.61623949555</v>
      </c>
      <c r="O352" s="91" t="str">
        <f t="shared" si="317"/>
        <v>13,7404580152672</v>
      </c>
      <c r="P352" s="67" t="str">
        <f t="shared" si="318"/>
        <v>1+148,458006265081i</v>
      </c>
      <c r="Q352" s="67">
        <f t="shared" si="329"/>
        <v>148.46137418265678</v>
      </c>
      <c r="R352" s="67">
        <f t="shared" si="330"/>
        <v>1.5640605171110591</v>
      </c>
      <c r="S352" s="67" t="str">
        <f t="shared" si="319"/>
        <v>1+4,12383350736336i</v>
      </c>
      <c r="T352" s="67">
        <f t="shared" si="331"/>
        <v>4.2433480644949206</v>
      </c>
      <c r="U352" s="67">
        <f t="shared" si="332"/>
        <v>1.3328956330983595</v>
      </c>
      <c r="V352" t="str">
        <f t="shared" si="320"/>
        <v>1-0,8591319807007i</v>
      </c>
      <c r="W352" s="67">
        <f t="shared" si="333"/>
        <v>1.3183731490980495</v>
      </c>
      <c r="X352" s="67">
        <f t="shared" si="334"/>
        <v>-0.70977181694216906</v>
      </c>
      <c r="Y352" t="str">
        <f t="shared" si="321"/>
        <v>0,969367674091351+1,49073608213593i</v>
      </c>
      <c r="Z352" s="67">
        <f t="shared" si="335"/>
        <v>1.7781922714249037</v>
      </c>
      <c r="AA352" s="67">
        <f t="shared" si="336"/>
        <v>0.99423758295887843</v>
      </c>
      <c r="AB352" s="92" t="str">
        <f t="shared" si="337"/>
        <v>-0,103765961859897-0,272059298639934i</v>
      </c>
      <c r="AC352" s="37">
        <f t="shared" si="338"/>
        <v>-10.716879581883054</v>
      </c>
      <c r="AD352" s="60">
        <f t="shared" si="339"/>
        <v>-110.87731909050895</v>
      </c>
      <c r="AE352" t="str">
        <f t="shared" si="340"/>
        <v>21,0353732052265</v>
      </c>
      <c r="AF352" t="str">
        <f t="shared" si="322"/>
        <v>1+74,2290031325406i</v>
      </c>
      <c r="AG352">
        <f t="shared" si="341"/>
        <v>74.235738738499279</v>
      </c>
      <c r="AH352">
        <f t="shared" si="342"/>
        <v>1.5573253185943856</v>
      </c>
      <c r="AI352" t="str">
        <f t="shared" si="323"/>
        <v>1+4,12383350736336i</v>
      </c>
      <c r="AJ352">
        <f t="shared" si="343"/>
        <v>4.2433480644949206</v>
      </c>
      <c r="AK352">
        <f t="shared" si="344"/>
        <v>1.3328956330983595</v>
      </c>
      <c r="AL352" t="str">
        <f t="shared" si="324"/>
        <v>1-0,280591329923114i</v>
      </c>
      <c r="AM352">
        <f t="shared" si="345"/>
        <v>1.0386199951994097</v>
      </c>
      <c r="AN352">
        <f t="shared" si="346"/>
        <v>-0.27355695891742637</v>
      </c>
      <c r="AO352" s="58" t="str">
        <f t="shared" si="347"/>
        <v>1,09715262536175-0,596512144329538i</v>
      </c>
      <c r="AP352">
        <f t="shared" si="348"/>
        <v>1.9300504559364202</v>
      </c>
      <c r="AQ352" s="60">
        <f t="shared" si="349"/>
        <v>-28.53253297877292</v>
      </c>
      <c r="AR352" t="str">
        <f t="shared" si="325"/>
        <v>-1,05811623246493</v>
      </c>
      <c r="AS352" t="str">
        <f t="shared" si="326"/>
        <v>1+4,06445030485733i</v>
      </c>
      <c r="AT352">
        <f t="shared" si="350"/>
        <v>4.1856607937881023</v>
      </c>
      <c r="AU352">
        <f t="shared" si="351"/>
        <v>1.3295522069283312</v>
      </c>
      <c r="AV352" t="str">
        <f t="shared" si="327"/>
        <v>1+4,06445030485733i</v>
      </c>
      <c r="AW352">
        <f t="shared" si="352"/>
        <v>4.1856607937881023</v>
      </c>
      <c r="AX352">
        <f t="shared" si="353"/>
        <v>1.3295522069283312</v>
      </c>
      <c r="AY352" t="str">
        <f t="shared" si="328"/>
        <v>1-0,00626272768647837i</v>
      </c>
      <c r="AZ352">
        <f t="shared" si="354"/>
        <v>1.0000196106867481</v>
      </c>
      <c r="BA352">
        <f t="shared" si="355"/>
        <v>-6.2626458100084282E-3</v>
      </c>
      <c r="BB352" s="58" t="str">
        <f t="shared" si="356"/>
        <v>-0,0588582596818473+0,245853165331827i</v>
      </c>
      <c r="BC352">
        <f t="shared" si="357"/>
        <v>-11.944442730736737</v>
      </c>
      <c r="BD352" s="60">
        <f t="shared" si="358"/>
        <v>103.46344672720353</v>
      </c>
      <c r="BE352" s="58" t="str">
        <f t="shared" si="359"/>
        <v>0,0729941236578711-0,00949825332874683i</v>
      </c>
      <c r="BF352" s="37">
        <f t="shared" si="360"/>
        <v>-22.661322312619788</v>
      </c>
      <c r="BG352" s="60">
        <f t="shared" si="361"/>
        <v>-7.4138723633054049</v>
      </c>
      <c r="BH352" s="58" t="str">
        <f t="shared" si="362"/>
        <v>0,0820779047081302+0,304848112491634i</v>
      </c>
      <c r="BI352" s="37">
        <f t="shared" si="363"/>
        <v>-10.014392274800315</v>
      </c>
      <c r="BJ352" s="60">
        <f t="shared" si="364"/>
        <v>74.930913748430612</v>
      </c>
      <c r="BK352">
        <f t="shared" si="365"/>
        <v>-22.661322312619788</v>
      </c>
      <c r="BL352" s="60">
        <f t="shared" si="366"/>
        <v>-7.4138723633054049</v>
      </c>
      <c r="BN352">
        <f t="shared" si="367"/>
        <v>0</v>
      </c>
      <c r="BO352">
        <f t="shared" si="368"/>
        <v>0</v>
      </c>
    </row>
    <row r="353" spans="13:67" x14ac:dyDescent="0.25">
      <c r="M353" s="66">
        <v>35</v>
      </c>
      <c r="N353" s="36">
        <f t="shared" si="316"/>
        <v>22387.211385683382</v>
      </c>
      <c r="O353" s="91" t="str">
        <f t="shared" si="317"/>
        <v>13,7404580152672</v>
      </c>
      <c r="P353" s="67" t="str">
        <f t="shared" si="318"/>
        <v>1+151,916037459029i</v>
      </c>
      <c r="Q353" s="67">
        <f t="shared" si="329"/>
        <v>151.9193287151214</v>
      </c>
      <c r="R353" s="67">
        <f t="shared" si="330"/>
        <v>1.5642138383780517</v>
      </c>
      <c r="S353" s="67" t="str">
        <f t="shared" si="319"/>
        <v>1+4,21988992941747i</v>
      </c>
      <c r="T353" s="67">
        <f t="shared" si="331"/>
        <v>4.3367581228838414</v>
      </c>
      <c r="U353" s="67">
        <f t="shared" si="332"/>
        <v>1.3381154410034879</v>
      </c>
      <c r="V353" t="str">
        <f t="shared" si="320"/>
        <v>1-0,879143735295306i</v>
      </c>
      <c r="W353" s="67">
        <f t="shared" si="333"/>
        <v>1.3315005472432158</v>
      </c>
      <c r="X353" s="67">
        <f t="shared" si="334"/>
        <v>-0.72117208011849432</v>
      </c>
      <c r="Y353" t="str">
        <f t="shared" si="321"/>
        <v>0,967924017047855+1,52545978618976i</v>
      </c>
      <c r="Z353" s="67">
        <f t="shared" si="335"/>
        <v>1.8066279257390452</v>
      </c>
      <c r="AA353" s="67">
        <f t="shared" si="336"/>
        <v>1.0053854537701459</v>
      </c>
      <c r="AB353" s="92" t="str">
        <f t="shared" si="337"/>
        <v>-0,107726704844452-0,26826342921667i</v>
      </c>
      <c r="AC353" s="37">
        <f t="shared" si="338"/>
        <v>-10.77947984799852</v>
      </c>
      <c r="AD353" s="60">
        <f t="shared" si="339"/>
        <v>-111.87894370256886</v>
      </c>
      <c r="AE353" t="str">
        <f t="shared" si="340"/>
        <v>21,0353732052265</v>
      </c>
      <c r="AF353" t="str">
        <f t="shared" si="322"/>
        <v>1+75,9580187295145i</v>
      </c>
      <c r="AG353">
        <f t="shared" si="341"/>
        <v>75.964601027802928</v>
      </c>
      <c r="AH353">
        <f t="shared" si="342"/>
        <v>1.5576319203390852</v>
      </c>
      <c r="AI353" t="str">
        <f t="shared" si="323"/>
        <v>1+4,21988992941747i</v>
      </c>
      <c r="AJ353">
        <f t="shared" si="343"/>
        <v>4.3367581228838414</v>
      </c>
      <c r="AK353">
        <f t="shared" si="344"/>
        <v>1.3381154410034879</v>
      </c>
      <c r="AL353" t="str">
        <f t="shared" si="324"/>
        <v>1-0,287127141605059i</v>
      </c>
      <c r="AM353">
        <f t="shared" si="345"/>
        <v>1.0404047267512253</v>
      </c>
      <c r="AN353">
        <f t="shared" si="346"/>
        <v>-0.27960539620972169</v>
      </c>
      <c r="AO353" s="58" t="str">
        <f t="shared" si="347"/>
        <v>1,09698979029595-0,598038068124619i</v>
      </c>
      <c r="AP353">
        <f t="shared" si="348"/>
        <v>1.9341295513556114</v>
      </c>
      <c r="AQ353" s="60">
        <f t="shared" si="349"/>
        <v>-28.597576931400646</v>
      </c>
      <c r="AR353" t="str">
        <f t="shared" si="325"/>
        <v>-1,05811623246493</v>
      </c>
      <c r="AS353" t="str">
        <f t="shared" si="326"/>
        <v>1+4,15912351443386i</v>
      </c>
      <c r="AT353">
        <f t="shared" si="350"/>
        <v>4.2776522074984848</v>
      </c>
      <c r="AU353">
        <f t="shared" si="351"/>
        <v>1.3348398194533926</v>
      </c>
      <c r="AV353" t="str">
        <f t="shared" si="327"/>
        <v>1+4,15912351443386i</v>
      </c>
      <c r="AW353">
        <f t="shared" si="352"/>
        <v>4.2776522074984848</v>
      </c>
      <c r="AX353">
        <f t="shared" si="353"/>
        <v>1.3348398194533926</v>
      </c>
      <c r="AY353" t="str">
        <f t="shared" si="328"/>
        <v>1-0,00612017059993717i</v>
      </c>
      <c r="AZ353">
        <f t="shared" si="354"/>
        <v>1.0000187280687158</v>
      </c>
      <c r="BA353">
        <f t="shared" si="355"/>
        <v>-6.1200941882885327E-3</v>
      </c>
      <c r="BB353" s="58" t="str">
        <f t="shared" si="356"/>
        <v>-0,0563539722754253+0,240858983079723i</v>
      </c>
      <c r="BC353">
        <f t="shared" si="357"/>
        <v>-12.133279224620942</v>
      </c>
      <c r="BD353" s="60">
        <f t="shared" si="358"/>
        <v>103.16865645210434</v>
      </c>
      <c r="BE353" s="58" t="str">
        <f t="shared" si="359"/>
        <v>0,0706844844967336-0,0108292347267774i</v>
      </c>
      <c r="BF353" s="37">
        <f t="shared" si="360"/>
        <v>-22.912759072619458</v>
      </c>
      <c r="BG353" s="60">
        <f t="shared" si="361"/>
        <v>-8.7102872504644733</v>
      </c>
      <c r="BH353" s="58" t="str">
        <f t="shared" si="362"/>
        <v>0,0822231087026953+0,297921666050265i</v>
      </c>
      <c r="BI353" s="37">
        <f t="shared" si="363"/>
        <v>-10.199149673265326</v>
      </c>
      <c r="BJ353" s="60">
        <f t="shared" si="364"/>
        <v>74.571079520703719</v>
      </c>
      <c r="BK353">
        <f t="shared" si="365"/>
        <v>-22.912759072619458</v>
      </c>
      <c r="BL353" s="60">
        <f t="shared" si="366"/>
        <v>-8.7102872504644733</v>
      </c>
      <c r="BN353">
        <f t="shared" si="367"/>
        <v>0</v>
      </c>
      <c r="BO353">
        <f t="shared" si="368"/>
        <v>0</v>
      </c>
    </row>
    <row r="354" spans="13:67" x14ac:dyDescent="0.25">
      <c r="M354" s="66">
        <v>36</v>
      </c>
      <c r="N354" s="36">
        <f t="shared" si="316"/>
        <v>22908.676527677751</v>
      </c>
      <c r="O354" s="91" t="str">
        <f t="shared" si="317"/>
        <v>13,7404580152672</v>
      </c>
      <c r="P354" s="67" t="str">
        <f t="shared" si="318"/>
        <v>1+155,454616546886i</v>
      </c>
      <c r="Q354" s="67">
        <f t="shared" si="329"/>
        <v>155.45783288641124</v>
      </c>
      <c r="R354" s="67">
        <f t="shared" si="330"/>
        <v>1.5643636699259669</v>
      </c>
      <c r="S354" s="67" t="str">
        <f t="shared" si="319"/>
        <v>1+4,31818379296905i</v>
      </c>
      <c r="T354" s="67">
        <f t="shared" si="331"/>
        <v>4.4324610849798294</v>
      </c>
      <c r="U354" s="67">
        <f t="shared" si="332"/>
        <v>1.3432289398992567</v>
      </c>
      <c r="V354" t="str">
        <f t="shared" si="320"/>
        <v>1-0,899621623535219i</v>
      </c>
      <c r="W354" s="67">
        <f t="shared" si="333"/>
        <v>1.3451093135995094</v>
      </c>
      <c r="X354" s="67">
        <f t="shared" si="334"/>
        <v>-0.73260601468068176</v>
      </c>
      <c r="Y354" t="str">
        <f t="shared" si="321"/>
        <v>0,966412322544014+1,56099230921409i</v>
      </c>
      <c r="Z354" s="67">
        <f t="shared" si="335"/>
        <v>1.835932941746635</v>
      </c>
      <c r="AA354" s="67">
        <f t="shared" si="336"/>
        <v>1.0164500438534496</v>
      </c>
      <c r="AB354" s="92" t="str">
        <f t="shared" si="337"/>
        <v>-0,111616439441779-0,264444038463533i</v>
      </c>
      <c r="AC354" s="37">
        <f t="shared" si="338"/>
        <v>-10.841314060303313</v>
      </c>
      <c r="AD354" s="60">
        <f t="shared" si="339"/>
        <v>-112.88361702008768</v>
      </c>
      <c r="AE354" t="str">
        <f t="shared" si="340"/>
        <v>21,0353732052265</v>
      </c>
      <c r="AF354" t="str">
        <f t="shared" si="322"/>
        <v>1+77,727308273443i</v>
      </c>
      <c r="AG354">
        <f t="shared" si="341"/>
        <v>77.733740752872819</v>
      </c>
      <c r="AH354">
        <f t="shared" si="342"/>
        <v>1.5579315453677591</v>
      </c>
      <c r="AI354" t="str">
        <f t="shared" si="323"/>
        <v>1+4,31818379296905i</v>
      </c>
      <c r="AJ354">
        <f t="shared" si="343"/>
        <v>4.4324610849798294</v>
      </c>
      <c r="AK354">
        <f t="shared" si="344"/>
        <v>1.3432289398992567</v>
      </c>
      <c r="AL354" t="str">
        <f t="shared" si="324"/>
        <v>1-0,293815191898062i</v>
      </c>
      <c r="AM354">
        <f t="shared" si="345"/>
        <v>1.0422702945925759</v>
      </c>
      <c r="AN354">
        <f t="shared" si="346"/>
        <v>-0.28577304459493985</v>
      </c>
      <c r="AO354" s="58" t="str">
        <f t="shared" si="347"/>
        <v>1,09683428153247-0,599880886630812i</v>
      </c>
      <c r="AP354">
        <f t="shared" si="348"/>
        <v>1.939318912279155</v>
      </c>
      <c r="AQ354" s="60">
        <f t="shared" si="349"/>
        <v>-28.675142497701458</v>
      </c>
      <c r="AR354" t="str">
        <f t="shared" si="325"/>
        <v>-1,05811623246493</v>
      </c>
      <c r="AS354" t="str">
        <f t="shared" si="326"/>
        <v>1+4,2560019463503i</v>
      </c>
      <c r="AT354">
        <f t="shared" si="350"/>
        <v>4.371904912888378</v>
      </c>
      <c r="AU354">
        <f t="shared" si="351"/>
        <v>1.340020095032334</v>
      </c>
      <c r="AV354" t="str">
        <f t="shared" si="327"/>
        <v>1+4,2560019463503i</v>
      </c>
      <c r="AW354">
        <f t="shared" si="352"/>
        <v>4.371904912888378</v>
      </c>
      <c r="AX354">
        <f t="shared" si="353"/>
        <v>1.340020095032334</v>
      </c>
      <c r="AY354" t="str">
        <f t="shared" si="328"/>
        <v>1-0,00598085850885802i</v>
      </c>
      <c r="AZ354">
        <f t="shared" si="354"/>
        <v>1.0000178851743118</v>
      </c>
      <c r="BA354">
        <f t="shared" si="355"/>
        <v>-5.9807871972861705E-3</v>
      </c>
      <c r="BB354" s="58" t="str">
        <f t="shared" si="356"/>
        <v>-0,0539503245718752+0,23594112985643i</v>
      </c>
      <c r="BC354">
        <f t="shared" si="357"/>
        <v>-12.322591267654929</v>
      </c>
      <c r="BD354" s="60">
        <f t="shared" si="358"/>
        <v>102.87983022735739</v>
      </c>
      <c r="BE354" s="58" t="str">
        <f t="shared" si="359"/>
        <v>0,0684149683543242-0,0120680671262401i</v>
      </c>
      <c r="BF354" s="37">
        <f t="shared" si="360"/>
        <v>-23.163905327958247</v>
      </c>
      <c r="BG354" s="60">
        <f t="shared" si="361"/>
        <v>-10.003786792730322</v>
      </c>
      <c r="BH354" s="58" t="str">
        <f t="shared" si="362"/>
        <v>0,0823620086807145+0,291152088188233i</v>
      </c>
      <c r="BI354" s="37">
        <f t="shared" si="363"/>
        <v>-10.383272355375778</v>
      </c>
      <c r="BJ354" s="60">
        <f t="shared" si="364"/>
        <v>74.204687729655916</v>
      </c>
      <c r="BK354">
        <f t="shared" si="365"/>
        <v>-23.163905327958247</v>
      </c>
      <c r="BL354" s="60">
        <f t="shared" si="366"/>
        <v>-10.003786792730322</v>
      </c>
      <c r="BN354">
        <f t="shared" si="367"/>
        <v>0</v>
      </c>
      <c r="BO354">
        <f t="shared" si="368"/>
        <v>0</v>
      </c>
    </row>
    <row r="355" spans="13:67" x14ac:dyDescent="0.25">
      <c r="M355" s="66">
        <v>37</v>
      </c>
      <c r="N355" s="36">
        <f t="shared" si="316"/>
        <v>23442.288153199243</v>
      </c>
      <c r="O355" s="91" t="str">
        <f t="shared" si="317"/>
        <v>13,7404580152672</v>
      </c>
      <c r="P355" s="67" t="str">
        <f t="shared" si="318"/>
        <v>1+159,07561973012i</v>
      </c>
      <c r="Q355" s="67">
        <f t="shared" si="329"/>
        <v>159.07876285828269</v>
      </c>
      <c r="R355" s="67">
        <f t="shared" si="330"/>
        <v>1.5645100911705498</v>
      </c>
      <c r="S355" s="67" t="str">
        <f t="shared" si="319"/>
        <v>1+4,41876721472557i</v>
      </c>
      <c r="T355" s="67">
        <f t="shared" si="331"/>
        <v>4.530508105933988</v>
      </c>
      <c r="U355" s="67">
        <f t="shared" si="332"/>
        <v>1.3482377708990254</v>
      </c>
      <c r="V355" t="str">
        <f t="shared" si="320"/>
        <v>1-0,920576503067825i</v>
      </c>
      <c r="W355" s="67">
        <f t="shared" si="333"/>
        <v>1.3592134114996752</v>
      </c>
      <c r="X355" s="67">
        <f t="shared" si="334"/>
        <v>-0.74406772548970468</v>
      </c>
      <c r="Y355" t="str">
        <f t="shared" si="321"/>
        <v>0,964829384073112+1,59735249102293i</v>
      </c>
      <c r="Z355" s="67">
        <f t="shared" si="335"/>
        <v>1.8661271984910517</v>
      </c>
      <c r="AA355" s="67">
        <f t="shared" si="336"/>
        <v>1.0274277763251671</v>
      </c>
      <c r="AB355" s="92" t="str">
        <f t="shared" si="337"/>
        <v>-0,115433046054658-0,260603582042973i</v>
      </c>
      <c r="AC355" s="37">
        <f t="shared" si="338"/>
        <v>-10.902353504243267</v>
      </c>
      <c r="AD355" s="60">
        <f t="shared" si="339"/>
        <v>-113.89070685746213</v>
      </c>
      <c r="AE355" t="str">
        <f t="shared" si="340"/>
        <v>21,0353732052265</v>
      </c>
      <c r="AF355" t="str">
        <f t="shared" si="322"/>
        <v>1+79,5378098650602i</v>
      </c>
      <c r="AG355">
        <f t="shared" si="341"/>
        <v>79.54409593508791</v>
      </c>
      <c r="AH355">
        <f t="shared" si="342"/>
        <v>1.558224352330249</v>
      </c>
      <c r="AI355" t="str">
        <f t="shared" si="323"/>
        <v>1+4,41876721472557i</v>
      </c>
      <c r="AJ355">
        <f t="shared" si="343"/>
        <v>4.530508105933988</v>
      </c>
      <c r="AK355">
        <f t="shared" si="344"/>
        <v>1.3482377708990254</v>
      </c>
      <c r="AL355" t="str">
        <f t="shared" si="324"/>
        <v>1-0,300659026894912i</v>
      </c>
      <c r="AM355">
        <f t="shared" si="345"/>
        <v>1.0442202116667707</v>
      </c>
      <c r="AN355">
        <f t="shared" si="346"/>
        <v>-0.29206129658767715</v>
      </c>
      <c r="AO355" s="58" t="str">
        <f t="shared" si="347"/>
        <v>1,09668576955181-0,602041589811824i</v>
      </c>
      <c r="AP355">
        <f t="shared" si="348"/>
        <v>1.9456255643884932</v>
      </c>
      <c r="AQ355" s="60">
        <f t="shared" si="349"/>
        <v>-28.765224523981697</v>
      </c>
      <c r="AR355" t="str">
        <f t="shared" si="325"/>
        <v>-1,05811623246493</v>
      </c>
      <c r="AS355" t="str">
        <f t="shared" si="326"/>
        <v>1+4,35513696683351i</v>
      </c>
      <c r="AT355">
        <f t="shared" si="350"/>
        <v>4.4684693128497353</v>
      </c>
      <c r="AU355">
        <f t="shared" si="351"/>
        <v>1.3450946677141267</v>
      </c>
      <c r="AV355" t="str">
        <f t="shared" si="327"/>
        <v>1+4,35513696683351i</v>
      </c>
      <c r="AW355">
        <f t="shared" si="352"/>
        <v>4.4684693128497353</v>
      </c>
      <c r="AX355">
        <f t="shared" si="353"/>
        <v>1.3450946677141267</v>
      </c>
      <c r="AY355" t="str">
        <f t="shared" si="328"/>
        <v>1-0,00584471754812631i</v>
      </c>
      <c r="AZ355">
        <f t="shared" si="354"/>
        <v>1.0000170802157418</v>
      </c>
      <c r="BA355">
        <f t="shared" si="355"/>
        <v>-5.8446509962308997E-3</v>
      </c>
      <c r="BB355" s="58" t="str">
        <f t="shared" si="356"/>
        <v>-0,0516437675361519+0,231100071615096i</v>
      </c>
      <c r="BC355">
        <f t="shared" si="357"/>
        <v>-12.512359701583797</v>
      </c>
      <c r="BD355" s="60">
        <f t="shared" si="358"/>
        <v>102.59687865961773</v>
      </c>
      <c r="BE355" s="58" t="str">
        <f t="shared" si="359"/>
        <v>0,0661869038697183-0,0132180343998643i</v>
      </c>
      <c r="BF355" s="37">
        <f t="shared" si="360"/>
        <v>-23.414713205827063</v>
      </c>
      <c r="BG355" s="60">
        <f t="shared" si="361"/>
        <v>-11.293828197844356</v>
      </c>
      <c r="BH355" s="58" t="str">
        <f t="shared" si="362"/>
        <v>0,0824948695778392+0,284535855794017i</v>
      </c>
      <c r="BI355" s="37">
        <f t="shared" si="363"/>
        <v>-10.566734137195308</v>
      </c>
      <c r="BJ355" s="60">
        <f t="shared" si="364"/>
        <v>73.831654135636057</v>
      </c>
      <c r="BK355">
        <f t="shared" si="365"/>
        <v>-23.414713205827063</v>
      </c>
      <c r="BL355" s="60">
        <f t="shared" si="366"/>
        <v>-11.293828197844356</v>
      </c>
      <c r="BN355">
        <f t="shared" si="367"/>
        <v>0</v>
      </c>
      <c r="BO355">
        <f t="shared" si="368"/>
        <v>0</v>
      </c>
    </row>
    <row r="356" spans="13:67" x14ac:dyDescent="0.25">
      <c r="M356" s="66">
        <v>38</v>
      </c>
      <c r="N356" s="36">
        <f t="shared" si="316"/>
        <v>23988.329190194923</v>
      </c>
      <c r="O356" s="91" t="str">
        <f t="shared" si="317"/>
        <v>13,7404580152672</v>
      </c>
      <c r="P356" s="67" t="str">
        <f t="shared" si="318"/>
        <v>1+162,78096691255i</v>
      </c>
      <c r="Q356" s="67">
        <f t="shared" si="329"/>
        <v>162.78403849574656</v>
      </c>
      <c r="R356" s="67">
        <f t="shared" si="330"/>
        <v>1.5646531797211547</v>
      </c>
      <c r="S356" s="67" t="str">
        <f t="shared" si="319"/>
        <v>1+4,5216935253486i</v>
      </c>
      <c r="T356" s="67">
        <f t="shared" si="331"/>
        <v>4.6309515585006347</v>
      </c>
      <c r="U356" s="67">
        <f t="shared" si="332"/>
        <v>1.3531435839919819</v>
      </c>
      <c r="V356" t="str">
        <f t="shared" si="320"/>
        <v>1-0,942019484447625i</v>
      </c>
      <c r="W356" s="67">
        <f t="shared" si="333"/>
        <v>1.3738270302621685</v>
      </c>
      <c r="X356" s="67">
        <f t="shared" si="334"/>
        <v>-0.7555512448154309</v>
      </c>
      <c r="Y356" t="str">
        <f t="shared" si="321"/>
        <v>0,963171844010422+1,63455961026596i</v>
      </c>
      <c r="Z356" s="67">
        <f t="shared" si="335"/>
        <v>1.8972309086158288</v>
      </c>
      <c r="AA356" s="67">
        <f t="shared" si="336"/>
        <v>1.0383152894238306</v>
      </c>
      <c r="AB356" s="92" t="str">
        <f t="shared" si="337"/>
        <v>-0,11917463071089-0,256744591576032i</v>
      </c>
      <c r="AC356" s="37">
        <f t="shared" si="338"/>
        <v>-10.962570109106446</v>
      </c>
      <c r="AD356" s="60">
        <f t="shared" si="339"/>
        <v>-114.89958858346984</v>
      </c>
      <c r="AE356" t="str">
        <f t="shared" si="340"/>
        <v>21,0353732052265</v>
      </c>
      <c r="AF356" t="str">
        <f t="shared" si="322"/>
        <v>1+81,3904834562749i</v>
      </c>
      <c r="AG356">
        <f t="shared" si="341"/>
        <v>81.396626448804113</v>
      </c>
      <c r="AH356">
        <f t="shared" si="342"/>
        <v>1.5585104962757339</v>
      </c>
      <c r="AI356" t="str">
        <f t="shared" si="323"/>
        <v>1+4,5216935253486i</v>
      </c>
      <c r="AJ356">
        <f t="shared" si="343"/>
        <v>4.6309515585006347</v>
      </c>
      <c r="AK356">
        <f t="shared" si="344"/>
        <v>1.3531435839919819</v>
      </c>
      <c r="AL356" t="str">
        <f t="shared" si="324"/>
        <v>1-0,307662275287514i</v>
      </c>
      <c r="AM356">
        <f t="shared" si="345"/>
        <v>1.0462581304989176</v>
      </c>
      <c r="AN356">
        <f t="shared" si="346"/>
        <v>-0.29847149634696812</v>
      </c>
      <c r="AO356" s="58" t="str">
        <f t="shared" si="347"/>
        <v>1,09654393964606-0,604521335318998i</v>
      </c>
      <c r="AP356">
        <f t="shared" si="348"/>
        <v>1.953058001622261</v>
      </c>
      <c r="AQ356" s="60">
        <f t="shared" si="349"/>
        <v>-28.867814371127995</v>
      </c>
      <c r="AR356" t="str">
        <f t="shared" si="325"/>
        <v>-1,05811623246493</v>
      </c>
      <c r="AS356" t="str">
        <f t="shared" si="326"/>
        <v>1+4,45658113858358i</v>
      </c>
      <c r="AT356">
        <f t="shared" si="350"/>
        <v>4.5673970097615681</v>
      </c>
      <c r="AU356">
        <f t="shared" si="351"/>
        <v>1.3500651822242387</v>
      </c>
      <c r="AV356" t="str">
        <f t="shared" si="327"/>
        <v>1+4,45658113858358i</v>
      </c>
      <c r="AW356">
        <f t="shared" si="352"/>
        <v>4.5673970097615681</v>
      </c>
      <c r="AX356">
        <f t="shared" si="353"/>
        <v>1.3500651822242387</v>
      </c>
      <c r="AY356" t="str">
        <f t="shared" si="328"/>
        <v>1-0,00571167553400263i</v>
      </c>
      <c r="AZ356">
        <f t="shared" si="354"/>
        <v>1.0000163114856706</v>
      </c>
      <c r="BA356">
        <f t="shared" si="355"/>
        <v>-5.7116134241027173E-3</v>
      </c>
      <c r="BB356" s="58" t="str">
        <f t="shared" si="356"/>
        <v>-0,0494308354440146+0,226336145501325i</v>
      </c>
      <c r="BC356">
        <f t="shared" si="357"/>
        <v>-12.702566047750722</v>
      </c>
      <c r="BD356" s="60">
        <f t="shared" si="358"/>
        <v>102.31971164757938</v>
      </c>
      <c r="BE356" s="58" t="str">
        <f t="shared" si="359"/>
        <v>0,0640014827954023-0,0142824268993111i</v>
      </c>
      <c r="BF356" s="37">
        <f t="shared" si="360"/>
        <v>-23.665136156857159</v>
      </c>
      <c r="BG356" s="60">
        <f t="shared" si="361"/>
        <v>-12.579876935890448</v>
      </c>
      <c r="BH356" s="58" t="str">
        <f t="shared" si="362"/>
        <v>0,0826219458716401+0,278069523320876i</v>
      </c>
      <c r="BI356" s="37">
        <f t="shared" si="363"/>
        <v>-10.749508046128465</v>
      </c>
      <c r="BJ356" s="60">
        <f t="shared" si="364"/>
        <v>73.45189727645139</v>
      </c>
      <c r="BK356">
        <f t="shared" si="365"/>
        <v>-23.665136156857159</v>
      </c>
      <c r="BL356" s="60">
        <f t="shared" si="366"/>
        <v>-12.579876935890448</v>
      </c>
      <c r="BN356">
        <f t="shared" si="367"/>
        <v>0</v>
      </c>
      <c r="BO356">
        <f t="shared" si="368"/>
        <v>0</v>
      </c>
    </row>
    <row r="357" spans="13:67" x14ac:dyDescent="0.25">
      <c r="M357" s="66">
        <v>39</v>
      </c>
      <c r="N357" s="36">
        <f t="shared" si="316"/>
        <v>24547.089156850321</v>
      </c>
      <c r="O357" s="91" t="str">
        <f t="shared" si="317"/>
        <v>13,7404580152672</v>
      </c>
      <c r="P357" s="67" t="str">
        <f t="shared" si="318"/>
        <v>1+166,572622718297i</v>
      </c>
      <c r="Q357" s="67">
        <f t="shared" si="329"/>
        <v>166.57562438499855</v>
      </c>
      <c r="R357" s="67">
        <f t="shared" si="330"/>
        <v>1.5647930114217747</v>
      </c>
      <c r="S357" s="67" t="str">
        <f t="shared" si="319"/>
        <v>1+4,62701729773047i</v>
      </c>
      <c r="T357" s="67">
        <f t="shared" si="331"/>
        <v>4.7338450622614356</v>
      </c>
      <c r="U357" s="67">
        <f t="shared" si="332"/>
        <v>1.3579480353305642</v>
      </c>
      <c r="V357" t="str">
        <f t="shared" si="320"/>
        <v>1-0,963961937027181i</v>
      </c>
      <c r="W357" s="67">
        <f t="shared" si="333"/>
        <v>1.3889645841551161</v>
      </c>
      <c r="X357" s="67">
        <f t="shared" si="334"/>
        <v>-0.76705054763588898</v>
      </c>
      <c r="Y357" t="str">
        <f t="shared" si="321"/>
        <v>0,961436186491241+1,67263339465032i</v>
      </c>
      <c r="Z357" s="67">
        <f t="shared" si="335"/>
        <v>1.9292646302657064</v>
      </c>
      <c r="AA357" s="67">
        <f t="shared" si="336"/>
        <v>1.049109439226563</v>
      </c>
      <c r="AB357" s="92" t="str">
        <f t="shared" si="337"/>
        <v>-0,122839523924015-0,252869657754803i</v>
      </c>
      <c r="AC357" s="37">
        <f t="shared" si="338"/>
        <v>-11.021936620660602</v>
      </c>
      <c r="AD357" s="60">
        <f t="shared" si="339"/>
        <v>-115.90964631126428</v>
      </c>
      <c r="AE357" t="str">
        <f t="shared" si="340"/>
        <v>21,0353732052265</v>
      </c>
      <c r="AF357" t="str">
        <f t="shared" si="322"/>
        <v>1+83,2863113591485i</v>
      </c>
      <c r="AG357">
        <f t="shared" si="341"/>
        <v>83.292314530291605</v>
      </c>
      <c r="AH357">
        <f t="shared" si="342"/>
        <v>1.5587901287339818</v>
      </c>
      <c r="AI357" t="str">
        <f t="shared" si="323"/>
        <v>1+4,62701729773047i</v>
      </c>
      <c r="AJ357">
        <f t="shared" si="343"/>
        <v>4.7338450622614356</v>
      </c>
      <c r="AK357">
        <f t="shared" si="344"/>
        <v>1.3579480353305642</v>
      </c>
      <c r="AL357" t="str">
        <f t="shared" si="324"/>
        <v>1-0,314828650290864i</v>
      </c>
      <c r="AM357">
        <f t="shared" si="345"/>
        <v>1.0483878476231814</v>
      </c>
      <c r="AN357">
        <f t="shared" si="346"/>
        <v>-0.30500493467346218</v>
      </c>
      <c r="AO357" s="58" t="str">
        <f t="shared" si="347"/>
        <v>1,09640849125401-0,607321449162409i</v>
      </c>
      <c r="AP357">
        <f t="shared" si="348"/>
        <v>1.9616261756425724</v>
      </c>
      <c r="AQ357" s="60">
        <f t="shared" si="349"/>
        <v>-28.982899788040775</v>
      </c>
      <c r="AR357" t="str">
        <f t="shared" si="325"/>
        <v>-1,05811623246493</v>
      </c>
      <c r="AS357" t="str">
        <f t="shared" si="326"/>
        <v>1+4,56038824864315i</v>
      </c>
      <c r="AT357">
        <f t="shared" si="350"/>
        <v>4.6687408343537919</v>
      </c>
      <c r="AU357">
        <f t="shared" si="351"/>
        <v>1.3549332911394842</v>
      </c>
      <c r="AV357" t="str">
        <f t="shared" si="327"/>
        <v>1+4,56038824864315i</v>
      </c>
      <c r="AW357">
        <f t="shared" si="352"/>
        <v>4.6687408343537919</v>
      </c>
      <c r="AX357">
        <f t="shared" si="353"/>
        <v>1.3549332911394842</v>
      </c>
      <c r="AY357" t="str">
        <f t="shared" si="328"/>
        <v>1-0,00558166192585004i</v>
      </c>
      <c r="AZ357">
        <f t="shared" si="354"/>
        <v>1.0000155773536001</v>
      </c>
      <c r="BA357">
        <f t="shared" si="355"/>
        <v>-5.5816039614677605E-3</v>
      </c>
      <c r="BB357" s="58" t="str">
        <f t="shared" si="356"/>
        <v>-0,0473081476948324+0,221649567900462i</v>
      </c>
      <c r="BC357">
        <f t="shared" si="357"/>
        <v>-12.893192490786813</v>
      </c>
      <c r="BD357" s="60">
        <f t="shared" si="358"/>
        <v>102.04823854603151</v>
      </c>
      <c r="BE357" s="58" t="str">
        <f t="shared" si="359"/>
        <v>0,06185976071705-0,0152645322822504i</v>
      </c>
      <c r="BF357" s="37">
        <f t="shared" si="360"/>
        <v>-23.915129111447413</v>
      </c>
      <c r="BG357" s="60">
        <f t="shared" si="361"/>
        <v>-13.861407765232725</v>
      </c>
      <c r="BH357" s="58" t="str">
        <f t="shared" si="362"/>
        <v>0,0827434819454173+0,271749721144064i</v>
      </c>
      <c r="BI357" s="37">
        <f t="shared" si="363"/>
        <v>-10.931566315144233</v>
      </c>
      <c r="BJ357" s="60">
        <f t="shared" si="364"/>
        <v>73.065338757990773</v>
      </c>
      <c r="BK357">
        <f t="shared" si="365"/>
        <v>-23.915129111447413</v>
      </c>
      <c r="BL357" s="60">
        <f t="shared" si="366"/>
        <v>-13.861407765232725</v>
      </c>
      <c r="BN357">
        <f t="shared" si="367"/>
        <v>0</v>
      </c>
      <c r="BO357">
        <f t="shared" si="368"/>
        <v>0</v>
      </c>
    </row>
    <row r="358" spans="13:67" x14ac:dyDescent="0.25">
      <c r="M358" s="66">
        <v>40</v>
      </c>
      <c r="N358" s="36">
        <f t="shared" si="316"/>
        <v>25118.86431509586</v>
      </c>
      <c r="O358" s="91" t="str">
        <f t="shared" si="317"/>
        <v>13,7404580152672</v>
      </c>
      <c r="P358" s="67" t="str">
        <f t="shared" si="318"/>
        <v>1+170,45259753346i</v>
      </c>
      <c r="Q358" s="67">
        <f t="shared" si="329"/>
        <v>170.45553087507514</v>
      </c>
      <c r="R358" s="67">
        <f t="shared" si="330"/>
        <v>1.5649296603911429</v>
      </c>
      <c r="S358" s="67" t="str">
        <f t="shared" si="319"/>
        <v>1+4,73479437592944i</v>
      </c>
      <c r="T358" s="67">
        <f t="shared" si="331"/>
        <v>4.8392435134360676</v>
      </c>
      <c r="U358" s="67">
        <f t="shared" si="332"/>
        <v>1.3626527846915517</v>
      </c>
      <c r="V358" t="str">
        <f t="shared" si="320"/>
        <v>1-0,9864154949853i</v>
      </c>
      <c r="W358" s="67">
        <f t="shared" si="333"/>
        <v>1.4046407116224042</v>
      </c>
      <c r="X358" s="67">
        <f t="shared" si="334"/>
        <v>-0.77855956730201048</v>
      </c>
      <c r="Y358" t="str">
        <f t="shared" si="321"/>
        <v>0,959618729953267+1,71159403140045i</v>
      </c>
      <c r="Z358" s="67">
        <f t="shared" si="335"/>
        <v>1.9622492795775888</v>
      </c>
      <c r="AA358" s="67">
        <f t="shared" si="336"/>
        <v>1.0598073014416927</v>
      </c>
      <c r="AB358" s="92" t="str">
        <f t="shared" si="337"/>
        <v>-0,126426278288505-0,248981413997111i</v>
      </c>
      <c r="AC358" s="37">
        <f t="shared" si="338"/>
        <v>-11.080426763390969</v>
      </c>
      <c r="AD358" s="60">
        <f t="shared" si="339"/>
        <v>-116.92027404637368</v>
      </c>
      <c r="AE358" t="str">
        <f t="shared" si="340"/>
        <v>21,0353732052265</v>
      </c>
      <c r="AF358" t="str">
        <f t="shared" si="322"/>
        <v>1+85,22629876673i</v>
      </c>
      <c r="AG358">
        <f t="shared" si="341"/>
        <v>85.232165298529893</v>
      </c>
      <c r="AH358">
        <f t="shared" si="342"/>
        <v>1.5590633977947981</v>
      </c>
      <c r="AI358" t="str">
        <f t="shared" si="323"/>
        <v>1+4,73479437592944i</v>
      </c>
      <c r="AJ358">
        <f t="shared" si="343"/>
        <v>4.8392435134360676</v>
      </c>
      <c r="AK358">
        <f t="shared" si="344"/>
        <v>1.3626527846915517</v>
      </c>
      <c r="AL358" t="str">
        <f t="shared" si="324"/>
        <v>1-0,322161951611851i</v>
      </c>
      <c r="AM358">
        <f t="shared" si="345"/>
        <v>1.0506133080569446</v>
      </c>
      <c r="AN358">
        <f t="shared" si="346"/>
        <v>-0.31166284379620401</v>
      </c>
      <c r="AO358" s="58" t="str">
        <f t="shared" si="347"/>
        <v>1,09627913732591-0,610443426467397i</v>
      </c>
      <c r="AP358">
        <f t="shared" si="348"/>
        <v>1.9713414831863039</v>
      </c>
      <c r="AQ358" s="60">
        <f t="shared" si="349"/>
        <v>-29.110464762960483</v>
      </c>
      <c r="AR358" t="str">
        <f t="shared" si="325"/>
        <v>-1,05811623246493</v>
      </c>
      <c r="AS358" t="str">
        <f t="shared" si="326"/>
        <v>1+4,66661333691606i</v>
      </c>
      <c r="AT358">
        <f t="shared" si="350"/>
        <v>4.772554875146314</v>
      </c>
      <c r="AU358">
        <f t="shared" si="351"/>
        <v>1.3597006522404442</v>
      </c>
      <c r="AV358" t="str">
        <f t="shared" si="327"/>
        <v>1+4,66661333691606i</v>
      </c>
      <c r="AW358">
        <f t="shared" si="352"/>
        <v>4.772554875146314</v>
      </c>
      <c r="AX358">
        <f t="shared" si="353"/>
        <v>1.3597006522404442</v>
      </c>
      <c r="AY358" t="str">
        <f t="shared" si="328"/>
        <v>1-0,00545460778873253i</v>
      </c>
      <c r="AZ358">
        <f t="shared" si="354"/>
        <v>1.0000148762624128</v>
      </c>
      <c r="BA358">
        <f t="shared" si="355"/>
        <v>-5.4545536931779647E-3</v>
      </c>
      <c r="BB358" s="58" t="str">
        <f t="shared" si="356"/>
        <v>-0,0452724101862403+0,217040442212431i</v>
      </c>
      <c r="BC358">
        <f t="shared" si="357"/>
        <v>-13.084221861991258</v>
      </c>
      <c r="BD358" s="60">
        <f t="shared" si="358"/>
        <v>101.78236831969069</v>
      </c>
      <c r="BE358" s="58" t="str">
        <f t="shared" si="359"/>
        <v>0,0597626585256063-0,0161676266437817i</v>
      </c>
      <c r="BF358" s="37">
        <f t="shared" si="360"/>
        <v>-24.164648625382227</v>
      </c>
      <c r="BG358" s="60">
        <f t="shared" si="361"/>
        <v>-15.137905726683011</v>
      </c>
      <c r="BH358" s="58" t="str">
        <f t="shared" si="362"/>
        <v>0,0828597124425192+0,265573153952004i</v>
      </c>
      <c r="BI358" s="37">
        <f t="shared" si="363"/>
        <v>-11.112880378804951</v>
      </c>
      <c r="BJ358" s="60">
        <f t="shared" si="364"/>
        <v>72.671903556730229</v>
      </c>
      <c r="BK358">
        <f t="shared" si="365"/>
        <v>-24.164648625382227</v>
      </c>
      <c r="BL358" s="60">
        <f t="shared" si="366"/>
        <v>-15.137905726683011</v>
      </c>
      <c r="BN358">
        <f t="shared" si="367"/>
        <v>0</v>
      </c>
      <c r="BO358">
        <f t="shared" si="368"/>
        <v>0</v>
      </c>
    </row>
    <row r="359" spans="13:67" x14ac:dyDescent="0.25">
      <c r="M359" s="66">
        <v>41</v>
      </c>
      <c r="N359" s="36">
        <f t="shared" si="316"/>
        <v>25703.95782768865</v>
      </c>
      <c r="O359" s="91" t="str">
        <f t="shared" si="317"/>
        <v>13,7404580152672</v>
      </c>
      <c r="P359" s="67" t="str">
        <f t="shared" si="318"/>
        <v>1+174,422948572041i</v>
      </c>
      <c r="Q359" s="67">
        <f t="shared" si="329"/>
        <v>174.42581514375922</v>
      </c>
      <c r="R359" s="67">
        <f t="shared" si="330"/>
        <v>1.5650631990619266</v>
      </c>
      <c r="S359" s="67" t="str">
        <f t="shared" si="319"/>
        <v>1+4,84508190477892i</v>
      </c>
      <c r="T359" s="67">
        <f t="shared" si="331"/>
        <v>4.9472031152981915</v>
      </c>
      <c r="U359" s="67">
        <f t="shared" si="332"/>
        <v>1.3672594931045192</v>
      </c>
      <c r="V359" t="str">
        <f t="shared" si="320"/>
        <v>1-1,00939206349561i</v>
      </c>
      <c r="W359" s="67">
        <f t="shared" si="333"/>
        <v>1.4208702748132658</v>
      </c>
      <c r="X359" s="67">
        <f t="shared" si="334"/>
        <v>-0.79007221146942808</v>
      </c>
      <c r="Y359" t="str">
        <f t="shared" si="321"/>
        <v>0,957715619327514+1,75146217796164i</v>
      </c>
      <c r="Z359" s="67">
        <f t="shared" si="335"/>
        <v>1.996206143747187</v>
      </c>
      <c r="AA359" s="67">
        <f t="shared" si="336"/>
        <v>1.0704061723111458</v>
      </c>
      <c r="AB359" s="92" t="str">
        <f t="shared" si="337"/>
        <v>-0,129933664898179-0,245082520741513i</v>
      </c>
      <c r="AC359" s="37">
        <f t="shared" si="338"/>
        <v>-11.138015391371333</v>
      </c>
      <c r="AD359" s="60">
        <f t="shared" si="339"/>
        <v>-117.93087678935372</v>
      </c>
      <c r="AE359" t="str">
        <f t="shared" si="340"/>
        <v>21,0353732052265</v>
      </c>
      <c r="AF359" t="str">
        <f t="shared" si="322"/>
        <v>1+87,2114742860205i</v>
      </c>
      <c r="AG359">
        <f t="shared" si="341"/>
        <v>87.217207288133324</v>
      </c>
      <c r="AH359">
        <f t="shared" si="342"/>
        <v>1.5593304481857087</v>
      </c>
      <c r="AI359" t="str">
        <f t="shared" si="323"/>
        <v>1+4,84508190477892i</v>
      </c>
      <c r="AJ359">
        <f t="shared" si="343"/>
        <v>4.9472031152981915</v>
      </c>
      <c r="AK359">
        <f t="shared" si="344"/>
        <v>1.3672594931045192</v>
      </c>
      <c r="AL359" t="str">
        <f t="shared" si="324"/>
        <v>1-0,329666067463898i</v>
      </c>
      <c r="AM359">
        <f t="shared" si="345"/>
        <v>1.0529386098140343</v>
      </c>
      <c r="AN359">
        <f t="shared" si="346"/>
        <v>-0.31844639195271274</v>
      </c>
      <c r="AO359" s="58" t="str">
        <f t="shared" si="347"/>
        <v>1,09615560371685-0,613888932317203i</v>
      </c>
      <c r="AP359">
        <f t="shared" si="348"/>
        <v>1.9822167511980262</v>
      </c>
      <c r="AQ359" s="60">
        <f t="shared" si="349"/>
        <v>-29.250489353258082</v>
      </c>
      <c r="AR359" t="str">
        <f t="shared" si="325"/>
        <v>-1,05811623246493</v>
      </c>
      <c r="AS359" t="str">
        <f t="shared" si="326"/>
        <v>1+4,7753127253501i</v>
      </c>
      <c r="AT359">
        <f t="shared" si="350"/>
        <v>4.8788945084814657</v>
      </c>
      <c r="AU359">
        <f t="shared" si="351"/>
        <v>1.3643689260352354</v>
      </c>
      <c r="AV359" t="str">
        <f t="shared" si="327"/>
        <v>1+4,7753127253501i</v>
      </c>
      <c r="AW359">
        <f t="shared" si="352"/>
        <v>4.8788945084814657</v>
      </c>
      <c r="AX359">
        <f t="shared" si="353"/>
        <v>1.3643689260352354</v>
      </c>
      <c r="AY359" t="str">
        <f t="shared" si="328"/>
        <v>1-0,00533044575686491i</v>
      </c>
      <c r="AZ359">
        <f t="shared" si="354"/>
        <v>1.0000142067250679</v>
      </c>
      <c r="BA359">
        <f t="shared" si="355"/>
        <v>-5.3303952719153964E-3</v>
      </c>
      <c r="BB359" s="58" t="str">
        <f t="shared" si="356"/>
        <v>-0,0433204162872153+0,212508766345416i</v>
      </c>
      <c r="BC359">
        <f t="shared" si="357"/>
        <v>-13.275637622482495</v>
      </c>
      <c r="BD359" s="60">
        <f t="shared" si="358"/>
        <v>101.52200968716697</v>
      </c>
      <c r="BE359" s="58" t="str">
        <f t="shared" si="359"/>
        <v>0,0577109645887164-0,0169949660110083i</v>
      </c>
      <c r="BF359" s="37">
        <f t="shared" si="360"/>
        <v>-24.413653013853825</v>
      </c>
      <c r="BG359" s="60">
        <f t="shared" si="361"/>
        <v>-16.408867102186768</v>
      </c>
      <c r="BH359" s="58" t="str">
        <f t="shared" si="362"/>
        <v>0,0829708626112556+0,259536599170578i</v>
      </c>
      <c r="BI359" s="37">
        <f t="shared" si="363"/>
        <v>-11.293420871284464</v>
      </c>
      <c r="BJ359" s="60">
        <f t="shared" si="364"/>
        <v>72.27152033390891</v>
      </c>
      <c r="BK359">
        <f t="shared" si="365"/>
        <v>-24.413653013853825</v>
      </c>
      <c r="BL359" s="60">
        <f t="shared" si="366"/>
        <v>-16.408867102186768</v>
      </c>
      <c r="BN359">
        <f t="shared" si="367"/>
        <v>0</v>
      </c>
      <c r="BO359">
        <f t="shared" si="368"/>
        <v>0</v>
      </c>
    </row>
    <row r="360" spans="13:67" x14ac:dyDescent="0.25">
      <c r="M360" s="66">
        <v>42</v>
      </c>
      <c r="N360" s="36">
        <f t="shared" si="316"/>
        <v>26302.679918953829</v>
      </c>
      <c r="O360" s="91" t="str">
        <f t="shared" si="317"/>
        <v>13,7404580152672</v>
      </c>
      <c r="P360" s="67" t="str">
        <f t="shared" si="318"/>
        <v>1+178,485780966715i</v>
      </c>
      <c r="Q360" s="67">
        <f t="shared" si="329"/>
        <v>178.48858228833058</v>
      </c>
      <c r="R360" s="67">
        <f t="shared" si="330"/>
        <v>1.5651936982190349</v>
      </c>
      <c r="S360" s="67" t="str">
        <f t="shared" si="319"/>
        <v>1+4,95793836018654i</v>
      </c>
      <c r="T360" s="67">
        <f t="shared" si="331"/>
        <v>5.0577814092158233</v>
      </c>
      <c r="U360" s="67">
        <f t="shared" si="332"/>
        <v>1.371769820641211</v>
      </c>
      <c r="V360" t="str">
        <f t="shared" si="320"/>
        <v>1-1,03290382503886i</v>
      </c>
      <c r="W360" s="67">
        <f t="shared" si="333"/>
        <v>1.4376683594556527</v>
      </c>
      <c r="X360" s="67">
        <f t="shared" si="334"/>
        <v>-0.80158237819578859</v>
      </c>
      <c r="Y360" t="str">
        <f t="shared" si="321"/>
        <v>0,955722817861188+1,79225897295293i</v>
      </c>
      <c r="Z360" s="67">
        <f t="shared" si="335"/>
        <v>2.0311568946565455</v>
      </c>
      <c r="AA360" s="67">
        <f t="shared" si="336"/>
        <v>1.0809035686614941</v>
      </c>
      <c r="AB360" s="92" t="str">
        <f t="shared" si="337"/>
        <v>-0,133360668683432-0,241175650467808i</v>
      </c>
      <c r="AC360" s="37">
        <f t="shared" si="338"/>
        <v>-11.194678626943507</v>
      </c>
      <c r="AD360" s="60">
        <f t="shared" si="339"/>
        <v>-118.94087158987513</v>
      </c>
      <c r="AE360" t="str">
        <f t="shared" si="340"/>
        <v>21,0353732052265</v>
      </c>
      <c r="AF360" t="str">
        <f t="shared" si="322"/>
        <v>1+89,2428904833578i</v>
      </c>
      <c r="AG360">
        <f t="shared" si="341"/>
        <v>89.248492994697642</v>
      </c>
      <c r="AH360">
        <f t="shared" si="342"/>
        <v>1.5595914213479187</v>
      </c>
      <c r="AI360" t="str">
        <f t="shared" si="323"/>
        <v>1+4,95793836018654i</v>
      </c>
      <c r="AJ360">
        <f t="shared" si="343"/>
        <v>5.0577814092158233</v>
      </c>
      <c r="AK360">
        <f t="shared" si="344"/>
        <v>1.371769820641211</v>
      </c>
      <c r="AL360" t="str">
        <f t="shared" si="324"/>
        <v>1-0,33734497662856i</v>
      </c>
      <c r="AM360">
        <f t="shared" si="345"/>
        <v>1.055368008448486</v>
      </c>
      <c r="AN360">
        <f t="shared" si="346"/>
        <v>-0.32535667776776539</v>
      </c>
      <c r="AO360" s="58" t="str">
        <f t="shared" si="347"/>
        <v>1,09603762860712-0,6176598026824i</v>
      </c>
      <c r="AP360">
        <f t="shared" si="348"/>
        <v>1.9942662196237473</v>
      </c>
      <c r="AQ360" s="60">
        <f t="shared" si="349"/>
        <v>-29.402949494376688</v>
      </c>
      <c r="AR360" t="str">
        <f t="shared" si="325"/>
        <v>-1,05811623246493</v>
      </c>
      <c r="AS360" t="str">
        <f t="shared" si="326"/>
        <v>1+4,88654404779986i</v>
      </c>
      <c r="AT360">
        <f t="shared" si="350"/>
        <v>4.9878164291690039</v>
      </c>
      <c r="AU360">
        <f t="shared" si="351"/>
        <v>1.3689397734482798</v>
      </c>
      <c r="AV360" t="str">
        <f t="shared" si="327"/>
        <v>1+4,88654404779986i</v>
      </c>
      <c r="AW360">
        <f t="shared" si="352"/>
        <v>4.9878164291690039</v>
      </c>
      <c r="AX360">
        <f t="shared" si="353"/>
        <v>1.3689397734482798</v>
      </c>
      <c r="AY360" t="str">
        <f t="shared" si="328"/>
        <v>1-0,00520910999789437i</v>
      </c>
      <c r="AZ360">
        <f t="shared" si="354"/>
        <v>1.000013567321449</v>
      </c>
      <c r="BA360">
        <f t="shared" si="355"/>
        <v>-5.2090628825619606E-3</v>
      </c>
      <c r="BB360" s="58" t="str">
        <f t="shared" si="356"/>
        <v>-0,0414490474444789+0,20805443992226i</v>
      </c>
      <c r="BC360">
        <f t="shared" si="357"/>
        <v>-13.467423846196438</v>
      </c>
      <c r="BD360" s="60">
        <f t="shared" si="358"/>
        <v>101.26707125542943</v>
      </c>
      <c r="BE360" s="58" t="str">
        <f t="shared" si="359"/>
        <v>0,0557053375644535-0,0177497782518963i</v>
      </c>
      <c r="BF360" s="37">
        <f t="shared" si="360"/>
        <v>-24.662102473139949</v>
      </c>
      <c r="BG360" s="60">
        <f t="shared" si="361"/>
        <v>-17.673800334445737</v>
      </c>
      <c r="BH360" s="58" t="str">
        <f t="shared" si="362"/>
        <v>0,0830771486405097+0,253636905419507i</v>
      </c>
      <c r="BI360" s="37">
        <f t="shared" si="363"/>
        <v>-11.473157626572679</v>
      </c>
      <c r="BJ360" s="60">
        <f t="shared" si="364"/>
        <v>71.864121761052758</v>
      </c>
      <c r="BK360">
        <f t="shared" si="365"/>
        <v>-24.662102473139949</v>
      </c>
      <c r="BL360" s="60">
        <f t="shared" si="366"/>
        <v>-17.673800334445737</v>
      </c>
      <c r="BN360">
        <f t="shared" si="367"/>
        <v>0</v>
      </c>
      <c r="BO360">
        <f t="shared" si="368"/>
        <v>0</v>
      </c>
    </row>
    <row r="361" spans="13:67" x14ac:dyDescent="0.25">
      <c r="M361" s="66">
        <v>43</v>
      </c>
      <c r="N361" s="36">
        <f t="shared" si="316"/>
        <v>26915.348039269167</v>
      </c>
      <c r="O361" s="91" t="str">
        <f t="shared" si="317"/>
        <v>13,7404580152672</v>
      </c>
      <c r="P361" s="67" t="str">
        <f t="shared" si="318"/>
        <v>1+182,643248884998i</v>
      </c>
      <c r="Q361" s="67">
        <f t="shared" si="329"/>
        <v>182.64598644171554</v>
      </c>
      <c r="R361" s="67">
        <f t="shared" si="330"/>
        <v>1.5653212270370591</v>
      </c>
      <c r="S361" s="67" t="str">
        <f t="shared" si="319"/>
        <v>1+5,07342358013883i</v>
      </c>
      <c r="T361" s="67">
        <f t="shared" si="331"/>
        <v>5.1710373063350357</v>
      </c>
      <c r="U361" s="67">
        <f t="shared" si="332"/>
        <v>1.3761854243593008</v>
      </c>
      <c r="V361" t="str">
        <f t="shared" si="320"/>
        <v>1-1,05696324586226i</v>
      </c>
      <c r="W361" s="67">
        <f t="shared" si="333"/>
        <v>1.4550502751120609</v>
      </c>
      <c r="X361" s="67">
        <f t="shared" si="334"/>
        <v>-0.81308397210001215</v>
      </c>
      <c r="Y361" t="str">
        <f t="shared" si="321"/>
        <v>0,9536360985552+1,83400604737504i</v>
      </c>
      <c r="Z361" s="67">
        <f t="shared" si="335"/>
        <v>2.0671236030474325</v>
      </c>
      <c r="AA361" s="67">
        <f t="shared" si="336"/>
        <v>1.0912972271470593</v>
      </c>
      <c r="AB361" s="92" t="str">
        <f t="shared" si="337"/>
        <v>-0,136706482767936-0,237263473515185i</v>
      </c>
      <c r="AC361" s="37">
        <f t="shared" si="338"/>
        <v>-11.250393986526024</v>
      </c>
      <c r="AD361" s="60">
        <f t="shared" si="339"/>
        <v>-119.94968854917423</v>
      </c>
      <c r="AE361" t="str">
        <f t="shared" si="340"/>
        <v>21,0353732052265</v>
      </c>
      <c r="AF361" t="str">
        <f t="shared" si="322"/>
        <v>1+91,321624442499i</v>
      </c>
      <c r="AG361">
        <f t="shared" si="341"/>
        <v>91.327099432845401</v>
      </c>
      <c r="AH361">
        <f t="shared" si="342"/>
        <v>1.5598464555105791</v>
      </c>
      <c r="AI361" t="str">
        <f t="shared" si="323"/>
        <v>1+5,07342358013883i</v>
      </c>
      <c r="AJ361">
        <f t="shared" si="343"/>
        <v>5.1710373063350357</v>
      </c>
      <c r="AK361">
        <f t="shared" si="344"/>
        <v>1.3761854243593008</v>
      </c>
      <c r="AL361" t="str">
        <f t="shared" si="324"/>
        <v>1-0,345202750565121i</v>
      </c>
      <c r="AM361">
        <f t="shared" si="345"/>
        <v>1.0579059216195574</v>
      </c>
      <c r="AN361">
        <f t="shared" si="346"/>
        <v>-0.33239472443797458</v>
      </c>
      <c r="AO361" s="58" t="str">
        <f t="shared" si="347"/>
        <v>1,09592496194878-0,621758045437821i</v>
      </c>
      <c r="AP361">
        <f t="shared" si="348"/>
        <v>2.0075055217374156</v>
      </c>
      <c r="AQ361" s="60">
        <f t="shared" si="349"/>
        <v>-29.567816788698902</v>
      </c>
      <c r="AR361" t="str">
        <f t="shared" si="325"/>
        <v>-1,05811623246493</v>
      </c>
      <c r="AS361" t="str">
        <f t="shared" si="326"/>
        <v>1+5,00036628058483i</v>
      </c>
      <c r="AT361">
        <f t="shared" si="350"/>
        <v>5.0993786817620999</v>
      </c>
      <c r="AU361">
        <f t="shared" si="351"/>
        <v>1.3734148536675674</v>
      </c>
      <c r="AV361" t="str">
        <f t="shared" si="327"/>
        <v>1+5,00036628058483i</v>
      </c>
      <c r="AW361">
        <f t="shared" si="352"/>
        <v>5.0993786817620999</v>
      </c>
      <c r="AX361">
        <f t="shared" si="353"/>
        <v>1.3734148536675674</v>
      </c>
      <c r="AY361" t="str">
        <f t="shared" si="328"/>
        <v>1-0,00509053617799541i</v>
      </c>
      <c r="AZ361">
        <f t="shared" si="354"/>
        <v>1.0000129566953517</v>
      </c>
      <c r="BA361">
        <f t="shared" si="355"/>
        <v>-5.0904922073765858E-3</v>
      </c>
      <c r="BB361" s="58" t="str">
        <f t="shared" si="356"/>
        <v>-0,0396552734554508+0,203677271195894i</v>
      </c>
      <c r="BC361">
        <f t="shared" si="357"/>
        <v>-13.659565202797857</v>
      </c>
      <c r="BD361" s="60">
        <f t="shared" si="358"/>
        <v>101.01746164514391</v>
      </c>
      <c r="BE361" s="58" t="str">
        <f t="shared" si="359"/>
        <v>0,0537463097973275-0,0184352554417269i</v>
      </c>
      <c r="BF361" s="37">
        <f t="shared" si="360"/>
        <v>-24.909959189323882</v>
      </c>
      <c r="BG361" s="60">
        <f t="shared" si="361"/>
        <v>-18.932226904030266</v>
      </c>
      <c r="BH361" s="58" t="str">
        <f t="shared" si="362"/>
        <v>0,0831787779861346+0,247870991000155i</v>
      </c>
      <c r="BI361" s="37">
        <f t="shared" si="363"/>
        <v>-11.652059681060436</v>
      </c>
      <c r="BJ361" s="60">
        <f t="shared" si="364"/>
        <v>71.449644856445033</v>
      </c>
      <c r="BK361">
        <f t="shared" si="365"/>
        <v>-24.909959189323882</v>
      </c>
      <c r="BL361" s="60">
        <f t="shared" si="366"/>
        <v>-18.932226904030266</v>
      </c>
      <c r="BN361">
        <f t="shared" si="367"/>
        <v>0</v>
      </c>
      <c r="BO361">
        <f t="shared" si="368"/>
        <v>0</v>
      </c>
    </row>
    <row r="362" spans="13:67" x14ac:dyDescent="0.25">
      <c r="M362" s="66">
        <v>44</v>
      </c>
      <c r="N362" s="36">
        <f t="shared" si="316"/>
        <v>27542.287033381719</v>
      </c>
      <c r="O362" s="91" t="str">
        <f t="shared" si="317"/>
        <v>13,7404580152672</v>
      </c>
      <c r="P362" s="67" t="str">
        <f t="shared" si="318"/>
        <v>1+186,897556671408i</v>
      </c>
      <c r="Q362" s="67">
        <f t="shared" si="329"/>
        <v>186.90023191462916</v>
      </c>
      <c r="R362" s="67">
        <f t="shared" si="330"/>
        <v>1.5654458531168642</v>
      </c>
      <c r="S362" s="67" t="str">
        <f t="shared" si="319"/>
        <v>1+5,19159879642802i</v>
      </c>
      <c r="T362" s="67">
        <f t="shared" si="331"/>
        <v>5.2870311199266515</v>
      </c>
      <c r="U362" s="67">
        <f t="shared" si="332"/>
        <v>1.380507956393987</v>
      </c>
      <c r="V362" t="str">
        <f t="shared" si="320"/>
        <v>1-1,08158308258917i</v>
      </c>
      <c r="W362" s="67">
        <f t="shared" si="333"/>
        <v>1.4730315558544871</v>
      </c>
      <c r="X362" s="67">
        <f t="shared" si="334"/>
        <v>-0.82457092047914748</v>
      </c>
      <c r="Y362" t="str">
        <f t="shared" si="321"/>
        <v>0,951451035198132+1,8767255360794i</v>
      </c>
      <c r="Z362" s="67">
        <f t="shared" si="335"/>
        <v>2.1041287532259303</v>
      </c>
      <c r="AA362" s="67">
        <f t="shared" si="336"/>
        <v>1.1015851027323595</v>
      </c>
      <c r="AB362" s="92" t="str">
        <f t="shared" si="337"/>
        <v>-0,13997050194879-0,233348644757013i</v>
      </c>
      <c r="AC362" s="37">
        <f t="shared" si="338"/>
        <v>-11.305140493023995</v>
      </c>
      <c r="AD362" s="60">
        <f t="shared" si="339"/>
        <v>-120.95677176796912</v>
      </c>
      <c r="AE362" t="str">
        <f t="shared" si="340"/>
        <v>21,0353732052265</v>
      </c>
      <c r="AF362" t="str">
        <f t="shared" si="322"/>
        <v>1+93,4487783357043i</v>
      </c>
      <c r="AG362">
        <f t="shared" si="341"/>
        <v>93.454128707273284</v>
      </c>
      <c r="AH362">
        <f t="shared" si="342"/>
        <v>1.5600956857633979</v>
      </c>
      <c r="AI362" t="str">
        <f t="shared" si="323"/>
        <v>1+5,19159879642802i</v>
      </c>
      <c r="AJ362">
        <f t="shared" si="343"/>
        <v>5.2870311199266515</v>
      </c>
      <c r="AK362">
        <f t="shared" si="344"/>
        <v>1.380507956393987</v>
      </c>
      <c r="AL362" t="str">
        <f t="shared" si="324"/>
        <v>1-0,35324355556933i</v>
      </c>
      <c r="AM362">
        <f t="shared" si="345"/>
        <v>1.0605569336679961</v>
      </c>
      <c r="AN362">
        <f t="shared" si="346"/>
        <v>-0.33956147373125489</v>
      </c>
      <c r="AO362" s="58" t="str">
        <f t="shared" si="347"/>
        <v>1,09581736493679-0,626185841467735i</v>
      </c>
      <c r="AP362">
        <f t="shared" si="348"/>
        <v>2.0219516618554607</v>
      </c>
      <c r="AQ362" s="60">
        <f t="shared" si="349"/>
        <v>-29.745058275248198</v>
      </c>
      <c r="AR362" t="str">
        <f t="shared" si="325"/>
        <v>-1,05811623246493</v>
      </c>
      <c r="AS362" t="str">
        <f t="shared" si="326"/>
        <v>1+5,11683977375945i</v>
      </c>
      <c r="AT362">
        <f t="shared" si="350"/>
        <v>5.2136406924841552</v>
      </c>
      <c r="AU362">
        <f t="shared" si="351"/>
        <v>1.3777958221438915</v>
      </c>
      <c r="AV362" t="str">
        <f t="shared" si="327"/>
        <v>1+5,11683977375945i</v>
      </c>
      <c r="AW362">
        <f t="shared" si="352"/>
        <v>5.2136406924841552</v>
      </c>
      <c r="AX362">
        <f t="shared" si="353"/>
        <v>1.3777958221438915</v>
      </c>
      <c r="AY362" t="str">
        <f t="shared" si="328"/>
        <v>1-0,00497466142775924i</v>
      </c>
      <c r="AZ362">
        <f t="shared" si="354"/>
        <v>1.000012373551608</v>
      </c>
      <c r="BA362">
        <f t="shared" si="355"/>
        <v>-4.974620391961399E-3</v>
      </c>
      <c r="BB362" s="58" t="str">
        <f t="shared" si="356"/>
        <v>-0,0379361524392185+0,199376983672124i</v>
      </c>
      <c r="BC362">
        <f t="shared" si="357"/>
        <v>-13.852046940567721</v>
      </c>
      <c r="BD362" s="60">
        <f t="shared" si="358"/>
        <v>100.7730896072585</v>
      </c>
      <c r="BE362" s="58" t="str">
        <f t="shared" si="359"/>
        <v>0,0518342912345545-0,0190545467226358i</v>
      </c>
      <c r="BF362" s="37">
        <f t="shared" si="360"/>
        <v>-25.157187433591712</v>
      </c>
      <c r="BG362" s="60">
        <f t="shared" si="361"/>
        <v>-20.183682160710596</v>
      </c>
      <c r="BH362" s="58" t="str">
        <f t="shared" si="362"/>
        <v>0,083275949688243+0,242235842413833i</v>
      </c>
      <c r="BI362" s="37">
        <f t="shared" si="363"/>
        <v>-11.83009527871225</v>
      </c>
      <c r="BJ362" s="60">
        <f t="shared" si="364"/>
        <v>71.028031332010343</v>
      </c>
      <c r="BK362">
        <f t="shared" si="365"/>
        <v>-25.157187433591712</v>
      </c>
      <c r="BL362" s="60">
        <f t="shared" si="366"/>
        <v>-20.183682160710596</v>
      </c>
      <c r="BN362">
        <f t="shared" si="367"/>
        <v>0</v>
      </c>
      <c r="BO362">
        <f t="shared" si="368"/>
        <v>0</v>
      </c>
    </row>
    <row r="363" spans="13:67" x14ac:dyDescent="0.25">
      <c r="M363" s="66">
        <v>45</v>
      </c>
      <c r="N363" s="36">
        <f t="shared" si="316"/>
        <v>28183.829312644593</v>
      </c>
      <c r="O363" s="91" t="str">
        <f t="shared" si="317"/>
        <v>13,7404580152672</v>
      </c>
      <c r="P363" s="67" t="str">
        <f t="shared" si="318"/>
        <v>1+191,250960016247i</v>
      </c>
      <c r="Q363" s="67">
        <f t="shared" si="329"/>
        <v>191.25357436433998</v>
      </c>
      <c r="R363" s="67">
        <f t="shared" si="330"/>
        <v>1.5655676425213534</v>
      </c>
      <c r="S363" s="67" t="str">
        <f t="shared" si="319"/>
        <v>1+5,31252666711798i</v>
      </c>
      <c r="T363" s="67">
        <f t="shared" si="331"/>
        <v>5.4058245984160145</v>
      </c>
      <c r="U363" s="67">
        <f t="shared" si="332"/>
        <v>1.3847390621908877</v>
      </c>
      <c r="V363" t="str">
        <f t="shared" si="320"/>
        <v>1-1,10677638898291i</v>
      </c>
      <c r="W363" s="67">
        <f t="shared" si="333"/>
        <v>1.4916279613932055</v>
      </c>
      <c r="X363" s="67">
        <f t="shared" si="334"/>
        <v>-0.83603718927916515</v>
      </c>
      <c r="Y363" t="str">
        <f t="shared" si="321"/>
        <v>0,949162992977646+1,9204400895044i</v>
      </c>
      <c r="Z363" s="67">
        <f t="shared" si="335"/>
        <v>2.1421952582838828</v>
      </c>
      <c r="AA363" s="67">
        <f t="shared" si="336"/>
        <v>1.111765366464184</v>
      </c>
      <c r="AB363" s="92" t="str">
        <f t="shared" si="337"/>
        <v>-0,14315231540588-0,229433791178366i</v>
      </c>
      <c r="AC363" s="37">
        <f t="shared" si="338"/>
        <v>-11.35889877446305</v>
      </c>
      <c r="AD363" s="60">
        <f t="shared" si="339"/>
        <v>-121.9615802371672</v>
      </c>
      <c r="AE363" t="str">
        <f t="shared" si="340"/>
        <v>21,0353732052265</v>
      </c>
      <c r="AF363" t="str">
        <f t="shared" si="322"/>
        <v>1+95,6254800081237i</v>
      </c>
      <c r="AG363">
        <f t="shared" si="341"/>
        <v>95.63070859710318</v>
      </c>
      <c r="AH363">
        <f t="shared" si="342"/>
        <v>1.5603392441276338</v>
      </c>
      <c r="AI363" t="str">
        <f t="shared" si="323"/>
        <v>1+5,31252666711798i</v>
      </c>
      <c r="AJ363">
        <f t="shared" si="343"/>
        <v>5.4058245984160145</v>
      </c>
      <c r="AK363">
        <f t="shared" si="344"/>
        <v>1.3847390621908877</v>
      </c>
      <c r="AL363" t="str">
        <f t="shared" si="324"/>
        <v>1-0,361471654982433i</v>
      </c>
      <c r="AM363">
        <f t="shared" si="345"/>
        <v>1.0633258001928381</v>
      </c>
      <c r="AN363">
        <f t="shared" si="346"/>
        <v>-0.34685777981234095</v>
      </c>
      <c r="AO363" s="58" t="str">
        <f t="shared" si="347"/>
        <v>1,09571460950404-0,630945545860044i</v>
      </c>
      <c r="AP363">
        <f t="shared" si="348"/>
        <v>2.0376229902909513</v>
      </c>
      <c r="AQ363" s="60">
        <f t="shared" si="349"/>
        <v>-29.934636181230289</v>
      </c>
      <c r="AR363" t="str">
        <f t="shared" si="325"/>
        <v>-1,05811623246493</v>
      </c>
      <c r="AS363" t="str">
        <f t="shared" si="326"/>
        <v>1+5,23602628311148i</v>
      </c>
      <c r="AT363">
        <f t="shared" si="350"/>
        <v>5.3306633018259761</v>
      </c>
      <c r="AU363">
        <f t="shared" si="351"/>
        <v>1.3820843287354974</v>
      </c>
      <c r="AV363" t="str">
        <f t="shared" si="327"/>
        <v>1+5,23602628311148i</v>
      </c>
      <c r="AW363">
        <f t="shared" si="352"/>
        <v>5.3306633018259761</v>
      </c>
      <c r="AX363">
        <f t="shared" si="353"/>
        <v>1.3820843287354974</v>
      </c>
      <c r="AY363" t="str">
        <f t="shared" si="328"/>
        <v>1-0,00486142430885951i</v>
      </c>
      <c r="AZ363">
        <f t="shared" si="354"/>
        <v>1.0000118166533387</v>
      </c>
      <c r="BA363">
        <f t="shared" si="355"/>
        <v>-4.8613860119990941E-3</v>
      </c>
      <c r="BB363" s="58" t="str">
        <f t="shared" si="356"/>
        <v>-0,0362888305352384+0,195153222439991i</v>
      </c>
      <c r="BC363">
        <f t="shared" si="357"/>
        <v>-14.044854869321979</v>
      </c>
      <c r="BD363" s="60">
        <f t="shared" si="358"/>
        <v>100.53386413121305</v>
      </c>
      <c r="BE363" s="58" t="str">
        <f t="shared" si="359"/>
        <v>0,0499695737995731-0,0196107516840745i</v>
      </c>
      <c r="BF363" s="37">
        <f t="shared" si="360"/>
        <v>-25.403753643785024</v>
      </c>
      <c r="BG363" s="60">
        <f t="shared" si="361"/>
        <v>-21.427716105954204</v>
      </c>
      <c r="BH363" s="58" t="str">
        <f t="shared" si="362"/>
        <v>0,0833688546794697+0,236728512909968i</v>
      </c>
      <c r="BI363" s="37">
        <f t="shared" si="363"/>
        <v>-12.007231879031043</v>
      </c>
      <c r="BJ363" s="60">
        <f t="shared" si="364"/>
        <v>70.599227949982719</v>
      </c>
      <c r="BK363">
        <f t="shared" si="365"/>
        <v>-25.403753643785024</v>
      </c>
      <c r="BL363" s="60">
        <f t="shared" si="366"/>
        <v>-21.427716105954204</v>
      </c>
      <c r="BN363">
        <f t="shared" si="367"/>
        <v>0</v>
      </c>
      <c r="BO363">
        <f t="shared" si="368"/>
        <v>0</v>
      </c>
    </row>
    <row r="364" spans="13:67" x14ac:dyDescent="0.25">
      <c r="M364" s="66">
        <v>46</v>
      </c>
      <c r="N364" s="36">
        <f t="shared" si="316"/>
        <v>28840.315031266062</v>
      </c>
      <c r="O364" s="91" t="str">
        <f t="shared" si="317"/>
        <v>13,7404580152672</v>
      </c>
      <c r="P364" s="67" t="str">
        <f t="shared" si="318"/>
        <v>1+195,705767151591i</v>
      </c>
      <c r="Q364" s="67">
        <f t="shared" si="329"/>
        <v>195.70832199064188</v>
      </c>
      <c r="R364" s="67">
        <f t="shared" si="330"/>
        <v>1.5656866598104211</v>
      </c>
      <c r="S364" s="67" t="str">
        <f t="shared" si="319"/>
        <v>1+5,43627130976644i</v>
      </c>
      <c r="T364" s="67">
        <f t="shared" si="331"/>
        <v>5.527480959115981</v>
      </c>
      <c r="U364" s="67">
        <f t="shared" si="332"/>
        <v>1.3888803788737361</v>
      </c>
      <c r="V364" t="str">
        <f t="shared" si="320"/>
        <v>1-1,13255652286801i</v>
      </c>
      <c r="W364" s="67">
        <f t="shared" si="333"/>
        <v>1.5108554786910882</v>
      </c>
      <c r="X364" s="67">
        <f t="shared" si="334"/>
        <v>-0.84747679881752158</v>
      </c>
      <c r="Y364" t="str">
        <f t="shared" si="321"/>
        <v>0,946767118649429+1,96517288568486i</v>
      </c>
      <c r="Z364" s="67">
        <f t="shared" si="335"/>
        <v>2.1813464758232932</v>
      </c>
      <c r="AA364" s="67">
        <f t="shared" si="336"/>
        <v>1.1218364025858538</v>
      </c>
      <c r="AB364" s="92" t="str">
        <f t="shared" si="337"/>
        <v>-0,146251698746299-0,225521500390053i</v>
      </c>
      <c r="AC364" s="37">
        <f t="shared" si="338"/>
        <v>-11.411651148617922</v>
      </c>
      <c r="AD364" s="60">
        <f t="shared" si="339"/>
        <v>-122.96358866888644</v>
      </c>
      <c r="AE364" t="str">
        <f t="shared" si="340"/>
        <v>21,0353732052265</v>
      </c>
      <c r="AF364" t="str">
        <f t="shared" si="322"/>
        <v>1+97,8528835757958i</v>
      </c>
      <c r="AG364">
        <f t="shared" si="341"/>
        <v>97.857993153846394</v>
      </c>
      <c r="AH364">
        <f t="shared" si="342"/>
        <v>1.560577259625505</v>
      </c>
      <c r="AI364" t="str">
        <f t="shared" si="323"/>
        <v>1+5,43627130976644i</v>
      </c>
      <c r="AJ364">
        <f t="shared" si="343"/>
        <v>5.527480959115981</v>
      </c>
      <c r="AK364">
        <f t="shared" si="344"/>
        <v>1.3888803788737361</v>
      </c>
      <c r="AL364" t="str">
        <f t="shared" si="324"/>
        <v>1-0,369891411451648i</v>
      </c>
      <c r="AM364">
        <f t="shared" si="345"/>
        <v>1.066217452617285</v>
      </c>
      <c r="AN364">
        <f t="shared" si="346"/>
        <v>-0.35428440290771995</v>
      </c>
      <c r="AO364" s="58" t="str">
        <f t="shared" si="347"/>
        <v>1,09561647783896-0,636039689190336i</v>
      </c>
      <c r="AP364">
        <f t="shared" si="348"/>
        <v>2.0545391753868039</v>
      </c>
      <c r="AQ364" s="60">
        <f t="shared" si="349"/>
        <v>-30.136507656562138</v>
      </c>
      <c r="AR364" t="str">
        <f t="shared" si="325"/>
        <v>-1,05811623246493</v>
      </c>
      <c r="AS364" t="str">
        <f t="shared" si="326"/>
        <v>1+5,3579890029058i</v>
      </c>
      <c r="AT364">
        <f t="shared" si="350"/>
        <v>5.4505087978334172</v>
      </c>
      <c r="AU364">
        <f t="shared" si="351"/>
        <v>1.3862820159916165</v>
      </c>
      <c r="AV364" t="str">
        <f t="shared" si="327"/>
        <v>1+5,3579890029058i</v>
      </c>
      <c r="AW364">
        <f t="shared" si="352"/>
        <v>5.4505087978334172</v>
      </c>
      <c r="AX364">
        <f t="shared" si="353"/>
        <v>1.3862820159916165</v>
      </c>
      <c r="AY364" t="str">
        <f t="shared" si="328"/>
        <v>1-0,00475076478147691i</v>
      </c>
      <c r="AZ364">
        <f t="shared" si="354"/>
        <v>1.000011284819331</v>
      </c>
      <c r="BA364">
        <f t="shared" si="355"/>
        <v>-4.7507290407444109E-3</v>
      </c>
      <c r="BB364" s="58" t="str">
        <f t="shared" si="356"/>
        <v>-0,0347105413577291+0,191005560211523i</v>
      </c>
      <c r="BC364">
        <f t="shared" si="357"/>
        <v>-14.237975343411868</v>
      </c>
      <c r="BD364" s="60">
        <f t="shared" si="358"/>
        <v>100.29969454514817</v>
      </c>
      <c r="BE364" s="58" t="str">
        <f t="shared" si="359"/>
        <v>0,0481523361597168-0,0201069142845777i</v>
      </c>
      <c r="BF364" s="37">
        <f t="shared" si="360"/>
        <v>-25.649626492029793</v>
      </c>
      <c r="BG364" s="60">
        <f t="shared" si="361"/>
        <v>-22.663894123738288</v>
      </c>
      <c r="BH364" s="58" t="str">
        <f t="shared" si="362"/>
        <v>0,0834576760843244+0,231346121063405i</v>
      </c>
      <c r="BI364" s="37">
        <f t="shared" si="363"/>
        <v>-12.183436168025048</v>
      </c>
      <c r="BJ364" s="60">
        <f t="shared" si="364"/>
        <v>70.163186888586083</v>
      </c>
      <c r="BK364">
        <f t="shared" si="365"/>
        <v>-25.649626492029793</v>
      </c>
      <c r="BL364" s="60">
        <f t="shared" si="366"/>
        <v>-22.663894123738288</v>
      </c>
      <c r="BN364">
        <f t="shared" si="367"/>
        <v>0</v>
      </c>
      <c r="BO364">
        <f t="shared" si="368"/>
        <v>0</v>
      </c>
    </row>
    <row r="365" spans="13:67" x14ac:dyDescent="0.25">
      <c r="M365" s="66">
        <v>47</v>
      </c>
      <c r="N365" s="36">
        <f t="shared" si="316"/>
        <v>29512.092266663854</v>
      </c>
      <c r="O365" s="91" t="str">
        <f t="shared" si="317"/>
        <v>13,7404580152672</v>
      </c>
      <c r="P365" s="67" t="str">
        <f t="shared" si="318"/>
        <v>1+200,264340075153i</v>
      </c>
      <c r="Q365" s="67">
        <f t="shared" si="329"/>
        <v>200.26683675970054</v>
      </c>
      <c r="R365" s="67">
        <f t="shared" si="330"/>
        <v>1.5658029680751142</v>
      </c>
      <c r="S365" s="67" t="str">
        <f t="shared" si="319"/>
        <v>1+5,56289833542094i</v>
      </c>
      <c r="T365" s="67">
        <f t="shared" si="331"/>
        <v>5.6520649226834854</v>
      </c>
      <c r="U365" s="67">
        <f t="shared" si="332"/>
        <v>1.392933533740444</v>
      </c>
      <c r="V365" t="str">
        <f t="shared" si="320"/>
        <v>1-1,15893715321269i</v>
      </c>
      <c r="W365" s="67">
        <f t="shared" si="333"/>
        <v>1.530730324092632</v>
      </c>
      <c r="X365" s="67">
        <f t="shared" si="334"/>
        <v>-0.85888383915847311</v>
      </c>
      <c r="Y365" t="str">
        <f t="shared" si="321"/>
        <v>0,944258330242811+2,01094764254148i</v>
      </c>
      <c r="Z365" s="67">
        <f t="shared" si="335"/>
        <v>2.2216062241711687</v>
      </c>
      <c r="AA365" s="67">
        <f t="shared" si="336"/>
        <v>1.1317968050479634</v>
      </c>
      <c r="AB365" s="92" t="str">
        <f t="shared" si="337"/>
        <v>-0,14926860548851-0,221614310100827i</v>
      </c>
      <c r="AC365" s="37">
        <f t="shared" si="338"/>
        <v>-11.463381693558308</v>
      </c>
      <c r="AD365" s="60">
        <f t="shared" si="339"/>
        <v>-123.96228826560325</v>
      </c>
      <c r="AE365" t="str">
        <f t="shared" si="340"/>
        <v>21,0353732052265</v>
      </c>
      <c r="AF365" t="str">
        <f t="shared" si="322"/>
        <v>1+100,132170037577i</v>
      </c>
      <c r="AG365">
        <f t="shared" si="341"/>
        <v>100.13716331329859</v>
      </c>
      <c r="AH365">
        <f t="shared" si="342"/>
        <v>1.5608098583480459</v>
      </c>
      <c r="AI365" t="str">
        <f t="shared" si="323"/>
        <v>1+5,56289833542094i</v>
      </c>
      <c r="AJ365">
        <f t="shared" si="343"/>
        <v>5.6520649226834854</v>
      </c>
      <c r="AK365">
        <f t="shared" si="344"/>
        <v>1.392933533740444</v>
      </c>
      <c r="AL365" t="str">
        <f t="shared" si="324"/>
        <v>1-0,37850728924331i</v>
      </c>
      <c r="AM365">
        <f t="shared" si="345"/>
        <v>1.0692370027315361</v>
      </c>
      <c r="AN365">
        <f t="shared" si="346"/>
        <v>-0.36184200282575579</v>
      </c>
      <c r="AO365" s="58" t="str">
        <f t="shared" si="347"/>
        <v>1,09552276192468-0,641470978896613i</v>
      </c>
      <c r="AP365">
        <f t="shared" si="348"/>
        <v>2.0727211724628556</v>
      </c>
      <c r="AQ365" s="60">
        <f t="shared" si="349"/>
        <v>-30.350624492660344</v>
      </c>
      <c r="AR365" t="str">
        <f t="shared" si="325"/>
        <v>-1,05811623246493</v>
      </c>
      <c r="AS365" t="str">
        <f t="shared" si="326"/>
        <v>1+5,48279259939087i</v>
      </c>
      <c r="AT365">
        <f t="shared" si="350"/>
        <v>5.5732409501057196</v>
      </c>
      <c r="AU365">
        <f t="shared" si="351"/>
        <v>1.3903905175684104</v>
      </c>
      <c r="AV365" t="str">
        <f t="shared" si="327"/>
        <v>1+5,48279259939087i</v>
      </c>
      <c r="AW365">
        <f t="shared" si="352"/>
        <v>5.5732409501057196</v>
      </c>
      <c r="AX365">
        <f t="shared" si="353"/>
        <v>1.3903905175684104</v>
      </c>
      <c r="AY365" t="str">
        <f t="shared" si="328"/>
        <v>1-0,00464262417246522i</v>
      </c>
      <c r="AZ365">
        <f t="shared" si="354"/>
        <v>1.0000107769215323</v>
      </c>
      <c r="BA365">
        <f t="shared" si="355"/>
        <v>-4.6425908172525723E-3</v>
      </c>
      <c r="BB365" s="58" t="str">
        <f t="shared" si="356"/>
        <v>-0,0331986052319788+0,186933503074112i</v>
      </c>
      <c r="BC365">
        <f t="shared" si="357"/>
        <v>-14.431395244850442</v>
      </c>
      <c r="BD365" s="60">
        <f t="shared" si="358"/>
        <v>100.07049060848517</v>
      </c>
      <c r="BE365" s="58" t="str">
        <f t="shared" si="359"/>
        <v>0,0463826488256412-0,0205460173281601i</v>
      </c>
      <c r="BF365" s="37">
        <f t="shared" si="360"/>
        <v>-25.894776938408747</v>
      </c>
      <c r="BG365" s="60">
        <f t="shared" si="361"/>
        <v>-23.891797657118069</v>
      </c>
      <c r="BH365" s="58" t="str">
        <f t="shared" si="362"/>
        <v>0,0835425895097391+0,226085849380166i</v>
      </c>
      <c r="BI365" s="37">
        <f t="shared" si="363"/>
        <v>-12.358674072387604</v>
      </c>
      <c r="BJ365" s="60">
        <f t="shared" si="364"/>
        <v>69.7198661158248</v>
      </c>
      <c r="BK365">
        <f t="shared" si="365"/>
        <v>-25.894776938408747</v>
      </c>
      <c r="BL365" s="60">
        <f t="shared" si="366"/>
        <v>-23.891797657118069</v>
      </c>
      <c r="BN365">
        <f t="shared" si="367"/>
        <v>0</v>
      </c>
      <c r="BO365">
        <f t="shared" si="368"/>
        <v>0</v>
      </c>
    </row>
    <row r="366" spans="13:67" x14ac:dyDescent="0.25">
      <c r="M366" s="66">
        <v>48</v>
      </c>
      <c r="N366" s="36">
        <f t="shared" si="316"/>
        <v>30199.517204020212</v>
      </c>
      <c r="O366" s="91" t="str">
        <f t="shared" si="317"/>
        <v>13,7404580152672</v>
      </c>
      <c r="P366" s="67" t="str">
        <f t="shared" si="318"/>
        <v>1+204,929095802634i</v>
      </c>
      <c r="Q366" s="67">
        <f t="shared" si="329"/>
        <v>204.93153565638733</v>
      </c>
      <c r="R366" s="67">
        <f t="shared" si="330"/>
        <v>1.56591662897102</v>
      </c>
      <c r="S366" s="67" t="str">
        <f t="shared" si="319"/>
        <v>1+5,69247488340652i</v>
      </c>
      <c r="T366" s="67">
        <f t="shared" si="331"/>
        <v>5.779642748320529</v>
      </c>
      <c r="U366" s="67">
        <f t="shared" si="332"/>
        <v>1.3969001428812211</v>
      </c>
      <c r="V366" t="str">
        <f t="shared" si="320"/>
        <v>1-1,18593226737636i</v>
      </c>
      <c r="W366" s="67">
        <f t="shared" si="333"/>
        <v>1.5512689459937092</v>
      </c>
      <c r="X366" s="67">
        <f t="shared" si="334"/>
        <v>-0.87025248504617592</v>
      </c>
      <c r="Y366" t="str">
        <f t="shared" si="321"/>
        <v>0,941631306281221+2,0577886304562i</v>
      </c>
      <c r="Z366" s="67">
        <f t="shared" si="335"/>
        <v>2.2629987990725233</v>
      </c>
      <c r="AA366" s="67">
        <f t="shared" si="336"/>
        <v>1.1416453734706473</v>
      </c>
      <c r="AB366" s="92" t="str">
        <f t="shared" si="337"/>
        <v>-0,152203158088511-0,217714698558548i</v>
      </c>
      <c r="AC366" s="37">
        <f t="shared" si="338"/>
        <v>-11.514076304168404</v>
      </c>
      <c r="AD366" s="60">
        <f t="shared" si="339"/>
        <v>-124.9571874254994</v>
      </c>
      <c r="AE366" t="str">
        <f t="shared" si="340"/>
        <v>21,0353732052265</v>
      </c>
      <c r="AF366" t="str">
        <f t="shared" si="322"/>
        <v>1+102,464547901317i</v>
      </c>
      <c r="AG366">
        <f t="shared" si="341"/>
        <v>102.46942752168222</v>
      </c>
      <c r="AH366">
        <f t="shared" si="342"/>
        <v>1.5610371635214471</v>
      </c>
      <c r="AI366" t="str">
        <f t="shared" si="323"/>
        <v>1+5,69247488340652i</v>
      </c>
      <c r="AJ366">
        <f t="shared" si="343"/>
        <v>5.779642748320529</v>
      </c>
      <c r="AK366">
        <f t="shared" si="344"/>
        <v>1.3969001428812211</v>
      </c>
      <c r="AL366" t="str">
        <f t="shared" si="324"/>
        <v>1-0,387323856609864i</v>
      </c>
      <c r="AM366">
        <f t="shared" si="345"/>
        <v>1.0723897471997477</v>
      </c>
      <c r="AN366">
        <f t="shared" si="346"/>
        <v>-0.36953113235021989</v>
      </c>
      <c r="AO366" s="58" t="str">
        <f t="shared" si="347"/>
        <v>1,095433263099-0,647242300745597i</v>
      </c>
      <c r="AP366">
        <f t="shared" si="348"/>
        <v>2.0921911895092511</v>
      </c>
      <c r="AQ366" s="60">
        <f t="shared" si="349"/>
        <v>-30.576932826894538</v>
      </c>
      <c r="AR366" t="str">
        <f t="shared" si="325"/>
        <v>-1,05811623246493</v>
      </c>
      <c r="AS366" t="str">
        <f t="shared" si="326"/>
        <v>1+5,61050324508546i</v>
      </c>
      <c r="AT366">
        <f t="shared" si="350"/>
        <v>5.6989250445250175</v>
      </c>
      <c r="AU366">
        <f t="shared" si="351"/>
        <v>1.39441145677093</v>
      </c>
      <c r="AV366" t="str">
        <f t="shared" si="327"/>
        <v>1+5,61050324508546i</v>
      </c>
      <c r="AW366">
        <f t="shared" si="352"/>
        <v>5.6989250445250175</v>
      </c>
      <c r="AX366">
        <f t="shared" si="353"/>
        <v>1.39441145677093</v>
      </c>
      <c r="AY366" t="str">
        <f t="shared" si="328"/>
        <v>1-0,00453694514424218i</v>
      </c>
      <c r="AZ366">
        <f t="shared" si="354"/>
        <v>1.0000102918826594</v>
      </c>
      <c r="BA366">
        <f t="shared" si="355"/>
        <v>-4.5369140153284047E-3</v>
      </c>
      <c r="BB366" s="58" t="str">
        <f t="shared" si="356"/>
        <v>-0,0317504282370855+0,182936495959947i</v>
      </c>
      <c r="BC366">
        <f t="shared" si="357"/>
        <v>-14.625101966605264</v>
      </c>
      <c r="BD366" s="60">
        <f t="shared" si="358"/>
        <v>99.846162597244799</v>
      </c>
      <c r="BE366" s="58" t="str">
        <f t="shared" si="359"/>
        <v>0,0446604795216239-0,0209309775020082i</v>
      </c>
      <c r="BF366" s="37">
        <f t="shared" si="360"/>
        <v>-26.139178270773677</v>
      </c>
      <c r="BG366" s="60">
        <f t="shared" si="361"/>
        <v>-25.111024828254642</v>
      </c>
      <c r="BH366" s="58" t="str">
        <f t="shared" si="362"/>
        <v>0,0836237633269125+0,220944942931131i</v>
      </c>
      <c r="BI366" s="37">
        <f t="shared" si="363"/>
        <v>-12.532910777096012</v>
      </c>
      <c r="BJ366" s="60">
        <f t="shared" si="364"/>
        <v>69.269229770350279</v>
      </c>
      <c r="BK366">
        <f t="shared" si="365"/>
        <v>-26.139178270773677</v>
      </c>
      <c r="BL366" s="60">
        <f t="shared" si="366"/>
        <v>-25.111024828254642</v>
      </c>
      <c r="BN366">
        <f t="shared" si="367"/>
        <v>0</v>
      </c>
      <c r="BO366">
        <f t="shared" si="368"/>
        <v>0</v>
      </c>
    </row>
    <row r="367" spans="13:67" x14ac:dyDescent="0.25">
      <c r="M367" s="66">
        <v>49</v>
      </c>
      <c r="N367" s="36">
        <f t="shared" si="316"/>
        <v>30902.954325135954</v>
      </c>
      <c r="O367" s="91" t="str">
        <f t="shared" si="317"/>
        <v>13,7404580152672</v>
      </c>
      <c r="P367" s="67" t="str">
        <f t="shared" si="318"/>
        <v>1+209,702507649267i</v>
      </c>
      <c r="Q367" s="67">
        <f t="shared" si="329"/>
        <v>209.70489196580724</v>
      </c>
      <c r="R367" s="67">
        <f t="shared" si="330"/>
        <v>1.5660277027508964</v>
      </c>
      <c r="S367" s="67" t="str">
        <f t="shared" si="319"/>
        <v>1+5,82506965692409i</v>
      </c>
      <c r="T367" s="67">
        <f t="shared" si="331"/>
        <v>5.9102822697412458</v>
      </c>
      <c r="U367" s="67">
        <f t="shared" si="332"/>
        <v>1.4007818099125635</v>
      </c>
      <c r="V367" t="str">
        <f t="shared" si="320"/>
        <v>1-1,21355617852585i</v>
      </c>
      <c r="W367" s="67">
        <f t="shared" si="333"/>
        <v>1.572488028074702</v>
      </c>
      <c r="X367" s="67">
        <f t="shared" si="334"/>
        <v>-0.88157701030572688</v>
      </c>
      <c r="Y367" t="str">
        <f t="shared" si="321"/>
        <v>0,938880474494628+2,10572068514083i</v>
      </c>
      <c r="Z367" s="67">
        <f t="shared" si="335"/>
        <v>2.3055489908516855</v>
      </c>
      <c r="AA367" s="67">
        <f t="shared" si="336"/>
        <v>1.1513811086129839</v>
      </c>
      <c r="AB367" s="92" t="str">
        <f t="shared" si="337"/>
        <v>-0,155055638606663-0,213825075960504i</v>
      </c>
      <c r="AC367" s="37">
        <f t="shared" si="338"/>
        <v>-11.563722734838427</v>
      </c>
      <c r="AD367" s="60">
        <f t="shared" si="339"/>
        <v>-125.94781238240448</v>
      </c>
      <c r="AE367" t="str">
        <f t="shared" si="340"/>
        <v>21,0353732052265</v>
      </c>
      <c r="AF367" t="str">
        <f t="shared" si="322"/>
        <v>1+104,851253824634i</v>
      </c>
      <c r="AG367">
        <f t="shared" si="341"/>
        <v>104.85602237638915</v>
      </c>
      <c r="AH367">
        <f t="shared" si="342"/>
        <v>1.5612592955719118</v>
      </c>
      <c r="AI367" t="str">
        <f t="shared" si="323"/>
        <v>1+5,82506965692409i</v>
      </c>
      <c r="AJ367">
        <f t="shared" si="343"/>
        <v>5.9102822697412458</v>
      </c>
      <c r="AK367">
        <f t="shared" si="344"/>
        <v>1.4007818099125635</v>
      </c>
      <c r="AL367" t="str">
        <f t="shared" si="324"/>
        <v>1-0,396345788212029i</v>
      </c>
      <c r="AM367">
        <f t="shared" si="345"/>
        <v>1.0756811720177195</v>
      </c>
      <c r="AN367">
        <f t="shared" si="346"/>
        <v>-0.37735223052816841</v>
      </c>
      <c r="AO367" s="58" t="str">
        <f t="shared" si="347"/>
        <v>1,09534779163402-0,653356720391527i</v>
      </c>
      <c r="AP367">
        <f t="shared" si="348"/>
        <v>2.112972649454028</v>
      </c>
      <c r="AQ367" s="60">
        <f t="shared" si="349"/>
        <v>-30.815372834263588</v>
      </c>
      <c r="AR367" t="str">
        <f t="shared" si="325"/>
        <v>-1,05811623246493</v>
      </c>
      <c r="AS367" t="str">
        <f t="shared" si="326"/>
        <v>1+5,74118865386438i</v>
      </c>
      <c r="AT367">
        <f t="shared" si="350"/>
        <v>5.8276279187385578</v>
      </c>
      <c r="AU367">
        <f t="shared" si="351"/>
        <v>1.3983464452148364</v>
      </c>
      <c r="AV367" t="str">
        <f t="shared" si="327"/>
        <v>1+5,74118865386438i</v>
      </c>
      <c r="AW367">
        <f t="shared" si="352"/>
        <v>5.8276279187385578</v>
      </c>
      <c r="AX367">
        <f t="shared" si="353"/>
        <v>1.3983464452148364</v>
      </c>
      <c r="AY367" t="str">
        <f t="shared" si="328"/>
        <v>1-0,00443367166438819i</v>
      </c>
      <c r="AZ367">
        <f t="shared" si="354"/>
        <v>1.0000098286739123</v>
      </c>
      <c r="BA367">
        <f t="shared" si="355"/>
        <v>-4.4336426131793812E-3</v>
      </c>
      <c r="BB367" s="58" t="str">
        <f t="shared" si="356"/>
        <v>-0,0303635010779709+0,179013927837954i</v>
      </c>
      <c r="BC367">
        <f t="shared" si="357"/>
        <v>-14.819083396093225</v>
      </c>
      <c r="BD367" s="60">
        <f t="shared" si="358"/>
        <v>99.626621382463767</v>
      </c>
      <c r="BE367" s="58" t="str">
        <f t="shared" si="359"/>
        <v>0,0429856987679176-0,0212646409759771i</v>
      </c>
      <c r="BF367" s="37">
        <f t="shared" si="360"/>
        <v>-26.382806130931648</v>
      </c>
      <c r="BG367" s="60">
        <f t="shared" si="361"/>
        <v>-26.321190999940725</v>
      </c>
      <c r="BH367" s="58" t="str">
        <f t="shared" si="362"/>
        <v>0,0837013589445785+0,215920708012942i</v>
      </c>
      <c r="BI367" s="37">
        <f t="shared" si="363"/>
        <v>-12.706110746639212</v>
      </c>
      <c r="BJ367" s="60">
        <f t="shared" si="364"/>
        <v>68.811248548200155</v>
      </c>
      <c r="BK367">
        <f t="shared" si="365"/>
        <v>-26.382806130931648</v>
      </c>
      <c r="BL367" s="60">
        <f t="shared" si="366"/>
        <v>-26.321190999940725</v>
      </c>
      <c r="BN367">
        <f t="shared" si="367"/>
        <v>0</v>
      </c>
      <c r="BO367">
        <f t="shared" si="368"/>
        <v>0</v>
      </c>
    </row>
    <row r="368" spans="13:67" x14ac:dyDescent="0.25">
      <c r="M368" s="66">
        <v>50</v>
      </c>
      <c r="N368" s="36">
        <f t="shared" si="316"/>
        <v>31622.77660168384</v>
      </c>
      <c r="O368" s="91" t="str">
        <f t="shared" si="317"/>
        <v>13,7404580152672</v>
      </c>
      <c r="P368" s="67" t="str">
        <f t="shared" si="318"/>
        <v>1+214,587106541196i</v>
      </c>
      <c r="Q368" s="67">
        <f t="shared" si="329"/>
        <v>214.58943658466185</v>
      </c>
      <c r="R368" s="67">
        <f t="shared" si="330"/>
        <v>1.5661362482965626</v>
      </c>
      <c r="S368" s="67" t="str">
        <f t="shared" si="319"/>
        <v>1+5,96075295947767i</v>
      </c>
      <c r="T368" s="67">
        <f t="shared" si="331"/>
        <v>6.0440529319258784</v>
      </c>
      <c r="U368" s="67">
        <f t="shared" si="332"/>
        <v>1.4045801248210432</v>
      </c>
      <c r="V368" t="str">
        <f t="shared" si="320"/>
        <v>1-1,24182353322451i</v>
      </c>
      <c r="W368" s="67">
        <f t="shared" si="333"/>
        <v>1.5944044931165382</v>
      </c>
      <c r="X368" s="67">
        <f t="shared" si="334"/>
        <v>-0.89285180162859312</v>
      </c>
      <c r="Y368" t="str">
        <f t="shared" si="321"/>
        <v>0,936+2,15476922080524i</v>
      </c>
      <c r="Z368" s="67">
        <f t="shared" si="335"/>
        <v>2.3492821020323675</v>
      </c>
      <c r="AA368" s="67">
        <f t="shared" si="336"/>
        <v>1.1610032074046792</v>
      </c>
      <c r="AB368" s="92" t="str">
        <f t="shared" si="337"/>
        <v>-0,157826479109421-0,209947776823839i</v>
      </c>
      <c r="AC368" s="37">
        <f t="shared" si="338"/>
        <v>-11.612310628646727</v>
      </c>
      <c r="AD368" s="60">
        <f t="shared" si="339"/>
        <v>-126.93370777905167</v>
      </c>
      <c r="AE368" t="str">
        <f t="shared" si="340"/>
        <v>21,0353732052265</v>
      </c>
      <c r="AF368" t="str">
        <f t="shared" si="322"/>
        <v>1+107,293553270598i</v>
      </c>
      <c r="AG368">
        <f t="shared" si="341"/>
        <v>107.29821328163227</v>
      </c>
      <c r="AH368">
        <f t="shared" si="342"/>
        <v>1.5614763721890585</v>
      </c>
      <c r="AI368" t="str">
        <f t="shared" si="323"/>
        <v>1+5,96075295947767i</v>
      </c>
      <c r="AJ368">
        <f t="shared" si="343"/>
        <v>6.0440529319258784</v>
      </c>
      <c r="AK368">
        <f t="shared" si="344"/>
        <v>1.4045801248210432</v>
      </c>
      <c r="AL368" t="str">
        <f t="shared" si="324"/>
        <v>1-0,405577867597361i</v>
      </c>
      <c r="AM368">
        <f t="shared" si="345"/>
        <v>1.0791169569072772</v>
      </c>
      <c r="AN368">
        <f t="shared" si="346"/>
        <v>-0.38530561587572898</v>
      </c>
      <c r="AO368" s="58" t="str">
        <f t="shared" si="347"/>
        <v>1,09526616633464-0,659817485028462i</v>
      </c>
      <c r="AP368">
        <f t="shared" si="348"/>
        <v>2.1350901488357228</v>
      </c>
      <c r="AQ368" s="60">
        <f t="shared" si="349"/>
        <v>-31.065878407995971</v>
      </c>
      <c r="AR368" t="str">
        <f t="shared" si="325"/>
        <v>-1,05811623246493</v>
      </c>
      <c r="AS368" t="str">
        <f t="shared" si="326"/>
        <v>1+5,87491811686118i</v>
      </c>
      <c r="AT368">
        <f t="shared" si="350"/>
        <v>5.9594179984142501</v>
      </c>
      <c r="AU368">
        <f t="shared" si="351"/>
        <v>1.4021970816017149</v>
      </c>
      <c r="AV368" t="str">
        <f t="shared" si="327"/>
        <v>1+5,87491811686118i</v>
      </c>
      <c r="AW368">
        <f t="shared" si="352"/>
        <v>5.9594179984142501</v>
      </c>
      <c r="AX368">
        <f t="shared" si="353"/>
        <v>1.4021970816017149</v>
      </c>
      <c r="AY368" t="str">
        <f t="shared" si="328"/>
        <v>1-0,00433274897593724i</v>
      </c>
      <c r="AZ368">
        <f t="shared" si="354"/>
        <v>1.0000093863127928</v>
      </c>
      <c r="BA368">
        <f t="shared" si="355"/>
        <v>-4.3327218637572839E-3</v>
      </c>
      <c r="BB368" s="58" t="str">
        <f t="shared" si="356"/>
        <v>-0,029035397807909+0,175165136634591i</v>
      </c>
      <c r="BC368">
        <f t="shared" si="357"/>
        <v>-15.013327898907484</v>
      </c>
      <c r="BD368" s="60">
        <f t="shared" si="358"/>
        <v>99.411778502063299</v>
      </c>
      <c r="BE368" s="58" t="str">
        <f t="shared" si="359"/>
        <v>0,0413580856190401-0,0215497795587919i</v>
      </c>
      <c r="BF368" s="37">
        <f t="shared" si="360"/>
        <v>-26.625638527554205</v>
      </c>
      <c r="BG368" s="60">
        <f t="shared" si="361"/>
        <v>-27.52192927698837</v>
      </c>
      <c r="BH368" s="58" t="str">
        <f t="shared" si="362"/>
        <v>0,0837755310738331+0,211010510835667i</v>
      </c>
      <c r="BI368" s="37">
        <f t="shared" si="363"/>
        <v>-12.878237750071772</v>
      </c>
      <c r="BJ368" s="60">
        <f t="shared" si="364"/>
        <v>68.345900094067304</v>
      </c>
      <c r="BK368">
        <f t="shared" si="365"/>
        <v>-26.625638527554205</v>
      </c>
      <c r="BL368" s="60">
        <f t="shared" si="366"/>
        <v>-27.52192927698837</v>
      </c>
      <c r="BN368">
        <f t="shared" si="367"/>
        <v>0</v>
      </c>
      <c r="BO368">
        <f t="shared" si="368"/>
        <v>0</v>
      </c>
    </row>
    <row r="369" spans="13:67" x14ac:dyDescent="0.25">
      <c r="M369" s="66">
        <v>51</v>
      </c>
      <c r="N369" s="36">
        <f t="shared" si="316"/>
        <v>32359.365692962871</v>
      </c>
      <c r="O369" s="91" t="str">
        <f t="shared" si="317"/>
        <v>13,7404580152672</v>
      </c>
      <c r="P369" s="67" t="str">
        <f t="shared" si="318"/>
        <v>1+219,585482357409i</v>
      </c>
      <c r="Q369" s="67">
        <f t="shared" si="329"/>
        <v>219.58775936316667</v>
      </c>
      <c r="R369" s="67">
        <f t="shared" si="330"/>
        <v>1.5662423231500666</v>
      </c>
      <c r="S369" s="67" t="str">
        <f t="shared" si="319"/>
        <v>1+6,09959673215026i</v>
      </c>
      <c r="T369" s="67">
        <f t="shared" si="331"/>
        <v>6.1810258286839517</v>
      </c>
      <c r="U369" s="67">
        <f t="shared" si="332"/>
        <v>1.4082966629110221</v>
      </c>
      <c r="V369" t="str">
        <f t="shared" si="320"/>
        <v>1-1,27074931919797i</v>
      </c>
      <c r="W369" s="67">
        <f t="shared" si="333"/>
        <v>1.6170355074153764</v>
      </c>
      <c r="X369" s="67">
        <f t="shared" si="334"/>
        <v>-0.9040713716657206</v>
      </c>
      <c r="Y369" t="str">
        <f t="shared" si="321"/>
        <v>0,932983772924743+2,20496024363226i</v>
      </c>
      <c r="Z369" s="67">
        <f t="shared" si="335"/>
        <v>2.3942239654091937</v>
      </c>
      <c r="AA369" s="67">
        <f t="shared" si="336"/>
        <v>1.1705110575945192</v>
      </c>
      <c r="AB369" s="92" t="str">
        <f t="shared" si="337"/>
        <v>-0,160516251894943-0,206085053298522i</v>
      </c>
      <c r="AC369" s="37">
        <f t="shared" si="338"/>
        <v>-11.659831533468932</v>
      </c>
      <c r="AD369" s="60">
        <f t="shared" si="339"/>
        <v>-127.9144371727138</v>
      </c>
      <c r="AE369" t="str">
        <f t="shared" si="340"/>
        <v>21,0353732052265</v>
      </c>
      <c r="AF369" t="str">
        <f t="shared" si="322"/>
        <v>1+109,792741178705i</v>
      </c>
      <c r="AG369">
        <f t="shared" si="341"/>
        <v>109.79729511938855</v>
      </c>
      <c r="AH369">
        <f t="shared" si="342"/>
        <v>1.5616885083879029</v>
      </c>
      <c r="AI369" t="str">
        <f t="shared" si="323"/>
        <v>1+6,09959673215026i</v>
      </c>
      <c r="AJ369">
        <f t="shared" si="343"/>
        <v>6.1810258286839517</v>
      </c>
      <c r="AK369">
        <f t="shared" si="344"/>
        <v>1.4082966629110221</v>
      </c>
      <c r="AL369" t="str">
        <f t="shared" si="324"/>
        <v>1-0,41502498973655i</v>
      </c>
      <c r="AM369">
        <f t="shared" si="345"/>
        <v>1.0827029796328369</v>
      </c>
      <c r="AN369">
        <f t="shared" si="346"/>
        <v>-0.39339147952824671</v>
      </c>
      <c r="AO369" s="58" t="str">
        <f t="shared" si="347"/>
        <v>1,09518821415505-0,666628025136966i</v>
      </c>
      <c r="AP369">
        <f t="shared" si="348"/>
        <v>2.1585694127137374</v>
      </c>
      <c r="AQ369" s="60">
        <f t="shared" si="349"/>
        <v>-31.328376830923911</v>
      </c>
      <c r="AR369" t="str">
        <f t="shared" si="325"/>
        <v>-1,05811623246493</v>
      </c>
      <c r="AS369" t="str">
        <f t="shared" si="326"/>
        <v>1+6,01176253920729i</v>
      </c>
      <c r="AT369">
        <f t="shared" si="350"/>
        <v>6.0943653342916759</v>
      </c>
      <c r="AU369">
        <f t="shared" si="351"/>
        <v>1.4059649506020042</v>
      </c>
      <c r="AV369" t="str">
        <f t="shared" si="327"/>
        <v>1+6,01176253920729i</v>
      </c>
      <c r="AW369">
        <f t="shared" si="352"/>
        <v>6.0943653342916759</v>
      </c>
      <c r="AX369">
        <f t="shared" si="353"/>
        <v>1.4059649506020042</v>
      </c>
      <c r="AY369" t="str">
        <f t="shared" si="328"/>
        <v>1-0,00423412356834405i</v>
      </c>
      <c r="AZ369">
        <f t="shared" si="354"/>
        <v>1.0000089638610206</v>
      </c>
      <c r="BA369">
        <f t="shared" si="355"/>
        <v>-4.2340982657726759E-3</v>
      </c>
      <c r="BB369" s="58" t="str">
        <f t="shared" si="356"/>
        <v>-0,027763774421236+0,171389413890515i</v>
      </c>
      <c r="BC369">
        <f t="shared" si="357"/>
        <v>-15.207824302804839</v>
      </c>
      <c r="BD369" s="60">
        <f t="shared" si="358"/>
        <v>99.201546226513472</v>
      </c>
      <c r="BE369" s="58" t="str">
        <f t="shared" si="359"/>
        <v>0,0397773335049827-0,021789087400808i</v>
      </c>
      <c r="BF369" s="37">
        <f t="shared" si="360"/>
        <v>-26.867655836273773</v>
      </c>
      <c r="BG369" s="60">
        <f t="shared" si="361"/>
        <v>-28.712890946200371</v>
      </c>
      <c r="BH369" s="58" t="str">
        <f t="shared" si="362"/>
        <v>0,083846427984619+0,206211776236611i</v>
      </c>
      <c r="BI369" s="37">
        <f t="shared" si="363"/>
        <v>-13.049254890091088</v>
      </c>
      <c r="BJ369" s="60">
        <f t="shared" si="364"/>
        <v>67.873169395589599</v>
      </c>
      <c r="BK369">
        <f t="shared" si="365"/>
        <v>-26.867655836273773</v>
      </c>
      <c r="BL369" s="60">
        <f t="shared" si="366"/>
        <v>-28.712890946200371</v>
      </c>
      <c r="BN369">
        <f t="shared" si="367"/>
        <v>0</v>
      </c>
      <c r="BO369">
        <f t="shared" si="368"/>
        <v>0</v>
      </c>
    </row>
    <row r="370" spans="13:67" x14ac:dyDescent="0.25">
      <c r="M370" s="66">
        <v>52</v>
      </c>
      <c r="N370" s="36">
        <f t="shared" si="316"/>
        <v>33113.11214825909</v>
      </c>
      <c r="O370" s="91" t="str">
        <f t="shared" si="317"/>
        <v>13,7404580152672</v>
      </c>
      <c r="P370" s="67" t="str">
        <f t="shared" si="318"/>
        <v>1+224,700285302925i</v>
      </c>
      <c r="Q370" s="67">
        <f t="shared" si="329"/>
        <v>224.70251047822293</v>
      </c>
      <c r="R370" s="67">
        <f t="shared" si="330"/>
        <v>1.566345983544146</v>
      </c>
      <c r="S370" s="67" t="str">
        <f t="shared" si="319"/>
        <v>1+6,24167459174794i</v>
      </c>
      <c r="T370" s="67">
        <f t="shared" si="331"/>
        <v>6.3212737410486994</v>
      </c>
      <c r="U370" s="67">
        <f t="shared" si="332"/>
        <v>1.4119329838505601</v>
      </c>
      <c r="V370" t="str">
        <f t="shared" si="320"/>
        <v>1-1,30034887328082i</v>
      </c>
      <c r="W370" s="67">
        <f t="shared" si="333"/>
        <v>1.6403984858084628</v>
      </c>
      <c r="X370" s="67">
        <f t="shared" si="334"/>
        <v>-0.91523037135952445</v>
      </c>
      <c r="Y370" t="str">
        <f t="shared" si="321"/>
        <v>0,929825395446836+2,25632036556655i</v>
      </c>
      <c r="Z370" s="67">
        <f t="shared" si="335"/>
        <v>2.4404009625650116</v>
      </c>
      <c r="AA370" s="67">
        <f t="shared" si="336"/>
        <v>1.1799042320688709</v>
      </c>
      <c r="AB370" s="92" t="str">
        <f t="shared" si="337"/>
        <v>-0,163125659625747-0,202239069397823i</v>
      </c>
      <c r="AC370" s="37">
        <f t="shared" si="338"/>
        <v>-11.706278905554573</v>
      </c>
      <c r="AD370" s="60">
        <f t="shared" si="339"/>
        <v>-128.88958347265972</v>
      </c>
      <c r="AE370" t="str">
        <f t="shared" si="340"/>
        <v>21,0353732052265</v>
      </c>
      <c r="AF370" t="str">
        <f t="shared" si="322"/>
        <v>1+112,350142651463i</v>
      </c>
      <c r="AG370">
        <f t="shared" si="341"/>
        <v>112.35459293595474</v>
      </c>
      <c r="AH370">
        <f t="shared" si="342"/>
        <v>1.5618958165694496</v>
      </c>
      <c r="AI370" t="str">
        <f t="shared" si="323"/>
        <v>1+6,24167459174794i</v>
      </c>
      <c r="AJ370">
        <f t="shared" si="343"/>
        <v>6.3212737410486994</v>
      </c>
      <c r="AK370">
        <f t="shared" si="344"/>
        <v>1.4119329838505601</v>
      </c>
      <c r="AL370" t="str">
        <f t="shared" si="324"/>
        <v>1-0,424692163618803i</v>
      </c>
      <c r="AM370">
        <f t="shared" si="345"/>
        <v>1.086445320225192</v>
      </c>
      <c r="AN370">
        <f t="shared" si="346"/>
        <v>-0.40160987836411299</v>
      </c>
      <c r="AO370" s="58" t="str">
        <f t="shared" si="347"/>
        <v>1,09511376983254-0,673791956326408i</v>
      </c>
      <c r="AP370">
        <f t="shared" si="348"/>
        <v>2.1834372456575148</v>
      </c>
      <c r="AQ370" s="60">
        <f t="shared" si="349"/>
        <v>-31.602788439644797</v>
      </c>
      <c r="AR370" t="str">
        <f t="shared" si="325"/>
        <v>-1,05811623246493</v>
      </c>
      <c r="AS370" t="str">
        <f t="shared" si="326"/>
        <v>1+6,15179447762676i</v>
      </c>
      <c r="AT370">
        <f t="shared" si="350"/>
        <v>6.2325416400501563</v>
      </c>
      <c r="AU370">
        <f t="shared" si="351"/>
        <v>1.4096516218397044</v>
      </c>
      <c r="AV370" t="str">
        <f t="shared" si="327"/>
        <v>1+6,15179447762676i</v>
      </c>
      <c r="AW370">
        <f t="shared" si="352"/>
        <v>6.2325416400501563</v>
      </c>
      <c r="AX370">
        <f t="shared" si="353"/>
        <v>1.4096516218397044</v>
      </c>
      <c r="AY370" t="str">
        <f t="shared" si="328"/>
        <v>1-0,00413774314911205i</v>
      </c>
      <c r="AZ370">
        <f t="shared" si="354"/>
        <v>1.0000085604225435</v>
      </c>
      <c r="BA370">
        <f t="shared" si="355"/>
        <v>-4.1377195353670621E-3</v>
      </c>
      <c r="BB370" s="58" t="str">
        <f t="shared" si="356"/>
        <v>-0,0265463673344184+0,167686009160773i</v>
      </c>
      <c r="BC370">
        <f t="shared" si="357"/>
        <v>-15.402561881975513</v>
      </c>
      <c r="BD370" s="60">
        <f t="shared" si="358"/>
        <v>98.995837618628002</v>
      </c>
      <c r="BE370" s="58" t="str">
        <f t="shared" si="359"/>
        <v>0,0382430561258039-0,0219851782287546i</v>
      </c>
      <c r="BF370" s="37">
        <f t="shared" si="360"/>
        <v>-27.108840787530092</v>
      </c>
      <c r="BG370" s="60">
        <f t="shared" si="361"/>
        <v>-29.893745854031739</v>
      </c>
      <c r="BH370" s="58" t="str">
        <f t="shared" si="362"/>
        <v>0,0839141917540509+0,201521986419845i</v>
      </c>
      <c r="BI370" s="37">
        <f t="shared" si="363"/>
        <v>-13.219124636318005</v>
      </c>
      <c r="BJ370" s="60">
        <f t="shared" si="364"/>
        <v>67.39304917898319</v>
      </c>
      <c r="BK370">
        <f t="shared" si="365"/>
        <v>-27.108840787530092</v>
      </c>
      <c r="BL370" s="60">
        <f t="shared" si="366"/>
        <v>-29.893745854031739</v>
      </c>
      <c r="BN370">
        <f t="shared" si="367"/>
        <v>0</v>
      </c>
      <c r="BO370">
        <f t="shared" si="368"/>
        <v>0</v>
      </c>
    </row>
    <row r="371" spans="13:67" x14ac:dyDescent="0.25">
      <c r="M371" s="66">
        <v>53</v>
      </c>
      <c r="N371" s="36">
        <f t="shared" si="316"/>
        <v>33884.41561392029</v>
      </c>
      <c r="O371" s="91" t="str">
        <f t="shared" si="317"/>
        <v>13,7404580152672</v>
      </c>
      <c r="P371" s="67" t="str">
        <f t="shared" si="318"/>
        <v>1+229,934227313971i</v>
      </c>
      <c r="Q371" s="67">
        <f t="shared" si="329"/>
        <v>229.93640183857991</v>
      </c>
      <c r="R371" s="67">
        <f t="shared" si="330"/>
        <v>1.5664472844319977</v>
      </c>
      <c r="S371" s="67" t="str">
        <f t="shared" si="319"/>
        <v>1+6,38706186983254i</v>
      </c>
      <c r="T371" s="67">
        <f t="shared" si="331"/>
        <v>6.4648711765253877</v>
      </c>
      <c r="U371" s="67">
        <f t="shared" si="332"/>
        <v>1.4154906308099908</v>
      </c>
      <c r="V371" t="str">
        <f t="shared" si="320"/>
        <v>1-1,33063788954844i</v>
      </c>
      <c r="W371" s="67">
        <f t="shared" si="333"/>
        <v>1.6645110973201491</v>
      </c>
      <c r="X371" s="67">
        <f t="shared" si="334"/>
        <v>-0.92632360145426684</v>
      </c>
      <c r="Y371" t="str">
        <f t="shared" si="321"/>
        <v>0,926518168224199+2,30887681842462i</v>
      </c>
      <c r="Z371" s="67">
        <f t="shared" si="335"/>
        <v>2.4878400428299483</v>
      </c>
      <c r="AA371" s="67">
        <f t="shared" si="336"/>
        <v>1.1891824828918163</v>
      </c>
      <c r="AB371" s="92" t="str">
        <f t="shared" si="337"/>
        <v>-0,16565552544526-0,198411896114852i</v>
      </c>
      <c r="AC371" s="37">
        <f t="shared" si="338"/>
        <v>-11.751648101203367</v>
      </c>
      <c r="AD371" s="60">
        <f t="shared" si="339"/>
        <v>-129.85874930923646</v>
      </c>
      <c r="AE371" t="str">
        <f t="shared" si="340"/>
        <v>21,0353732052265</v>
      </c>
      <c r="AF371" t="str">
        <f t="shared" si="322"/>
        <v>1+114,967113656986i</v>
      </c>
      <c r="AG371">
        <f t="shared" si="341"/>
        <v>114.97146264451163</v>
      </c>
      <c r="AH371">
        <f t="shared" si="342"/>
        <v>1.5620984065799244</v>
      </c>
      <c r="AI371" t="str">
        <f t="shared" si="323"/>
        <v>1+6,38706186983254i</v>
      </c>
      <c r="AJ371">
        <f t="shared" si="343"/>
        <v>6.4648711765253877</v>
      </c>
      <c r="AK371">
        <f t="shared" si="344"/>
        <v>1.4154906308099908</v>
      </c>
      <c r="AL371" t="str">
        <f t="shared" si="324"/>
        <v>1-0,434584514907675i</v>
      </c>
      <c r="AM371">
        <f t="shared" si="345"/>
        <v>1.0903502650972021</v>
      </c>
      <c r="AN371">
        <f t="shared" si="346"/>
        <v>-0.4099607281345064</v>
      </c>
      <c r="AO371" s="58" t="str">
        <f t="shared" si="347"/>
        <v>1,09504267553757-0,681313081273765i</v>
      </c>
      <c r="AP371">
        <f t="shared" si="348"/>
        <v>2.2097214786610282</v>
      </c>
      <c r="AQ371" s="60">
        <f t="shared" si="349"/>
        <v>-31.889026283634866</v>
      </c>
      <c r="AR371" t="str">
        <f t="shared" si="325"/>
        <v>-1,05811623246493</v>
      </c>
      <c r="AS371" t="str">
        <f t="shared" si="326"/>
        <v>1+6,29508817890694i</v>
      </c>
      <c r="AT371">
        <f t="shared" si="350"/>
        <v>6.3740203310166725</v>
      </c>
      <c r="AU371">
        <f t="shared" si="351"/>
        <v>1.4132586489732173</v>
      </c>
      <c r="AV371" t="str">
        <f t="shared" si="327"/>
        <v>1+6,29508817890694i</v>
      </c>
      <c r="AW371">
        <f t="shared" si="352"/>
        <v>6.3740203310166725</v>
      </c>
      <c r="AX371">
        <f t="shared" si="353"/>
        <v>1.4132586489732173</v>
      </c>
      <c r="AY371" t="str">
        <f t="shared" si="328"/>
        <v>1-0,00404355661606718i</v>
      </c>
      <c r="AZ371">
        <f t="shared" si="354"/>
        <v>1.0000081751416372</v>
      </c>
      <c r="BA371">
        <f t="shared" si="355"/>
        <v>-4.0435345784279233E-3</v>
      </c>
      <c r="BB371" s="58" t="str">
        <f t="shared" si="356"/>
        <v>-0,0253809917722153+0,164054134166558i</v>
      </c>
      <c r="BC371">
        <f t="shared" si="357"/>
        <v>-15.59753034161737</v>
      </c>
      <c r="BD371" s="60">
        <f t="shared" si="358"/>
        <v>98.794566587814828</v>
      </c>
      <c r="BE371" s="58" t="str">
        <f t="shared" si="359"/>
        <v>0,0367547933538152-0,0221405830940277i</v>
      </c>
      <c r="BF371" s="37">
        <f t="shared" si="360"/>
        <v>-27.349178442820737</v>
      </c>
      <c r="BG371" s="60">
        <f t="shared" si="361"/>
        <v>-31.064182721421702</v>
      </c>
      <c r="BH371" s="58" t="str">
        <f t="shared" si="362"/>
        <v>0,0839789585066736+0,196938679720859i</v>
      </c>
      <c r="BI371" s="37">
        <f t="shared" si="363"/>
        <v>-13.387808862956344</v>
      </c>
      <c r="BJ371" s="60">
        <f t="shared" si="364"/>
        <v>66.905540304179937</v>
      </c>
      <c r="BK371">
        <f t="shared" si="365"/>
        <v>-27.349178442820737</v>
      </c>
      <c r="BL371" s="60">
        <f t="shared" si="366"/>
        <v>-31.064182721421702</v>
      </c>
      <c r="BN371">
        <f t="shared" si="367"/>
        <v>0</v>
      </c>
      <c r="BO371">
        <f t="shared" si="368"/>
        <v>0</v>
      </c>
    </row>
    <row r="372" spans="13:67" x14ac:dyDescent="0.25">
      <c r="M372" s="66">
        <v>54</v>
      </c>
      <c r="N372" s="36">
        <f t="shared" si="316"/>
        <v>34673.685045253202</v>
      </c>
      <c r="O372" s="91" t="str">
        <f t="shared" si="317"/>
        <v>13,7404580152672</v>
      </c>
      <c r="P372" s="67" t="str">
        <f t="shared" si="318"/>
        <v>1+235,290083495876i</v>
      </c>
      <c r="Q372" s="67">
        <f t="shared" si="329"/>
        <v>235.29220852271391</v>
      </c>
      <c r="R372" s="67">
        <f t="shared" si="330"/>
        <v>1.566546279516372</v>
      </c>
      <c r="S372" s="67" t="str">
        <f t="shared" si="319"/>
        <v>1+6,53583565266322i</v>
      </c>
      <c r="T372" s="67">
        <f t="shared" si="331"/>
        <v>6.6118944092161405</v>
      </c>
      <c r="U372" s="67">
        <f t="shared" si="332"/>
        <v>1.4189711296877996</v>
      </c>
      <c r="V372" t="str">
        <f t="shared" si="320"/>
        <v>1-1,36163242763817i</v>
      </c>
      <c r="W372" s="67">
        <f t="shared" si="333"/>
        <v>1.6893912714335351</v>
      </c>
      <c r="X372" s="67">
        <f t="shared" si="334"/>
        <v>-0.93734602313308946</v>
      </c>
      <c r="Y372" t="str">
        <f t="shared" si="321"/>
        <v>0,923055076184486+2,36265746833338i</v>
      </c>
      <c r="Z372" s="67">
        <f t="shared" si="335"/>
        <v>2.5365687426800489</v>
      </c>
      <c r="AA372" s="67">
        <f t="shared" si="336"/>
        <v>1.1983457351165658</v>
      </c>
      <c r="AB372" s="92" t="str">
        <f t="shared" si="337"/>
        <v>-0,168106783148514-0,194605507388265i</v>
      </c>
      <c r="AC372" s="37">
        <f t="shared" si="338"/>
        <v>-11.795936357252517</v>
      </c>
      <c r="AD372" s="60">
        <f t="shared" si="339"/>
        <v>-130.82155733476722</v>
      </c>
      <c r="AE372" t="str">
        <f t="shared" si="340"/>
        <v>21,0353732052265</v>
      </c>
      <c r="AF372" t="str">
        <f t="shared" si="322"/>
        <v>1+117,645041747938i</v>
      </c>
      <c r="AG372">
        <f t="shared" si="341"/>
        <v>117.64929174403929</v>
      </c>
      <c r="AH372">
        <f t="shared" si="342"/>
        <v>1.5622963857686749</v>
      </c>
      <c r="AI372" t="str">
        <f t="shared" si="323"/>
        <v>1+6,53583565266322i</v>
      </c>
      <c r="AJ372">
        <f t="shared" si="343"/>
        <v>6.6118944092161405</v>
      </c>
      <c r="AK372">
        <f t="shared" si="344"/>
        <v>1.4189711296877996</v>
      </c>
      <c r="AL372" t="str">
        <f t="shared" si="324"/>
        <v>1-0,444707288658753i</v>
      </c>
      <c r="AM372">
        <f t="shared" si="345"/>
        <v>1.0944243110358154</v>
      </c>
      <c r="AN372">
        <f t="shared" si="346"/>
        <v>-0.41844379663421805</v>
      </c>
      <c r="AO372" s="58" t="str">
        <f t="shared" si="347"/>
        <v>1,09497478053973-0,689195391760224i</v>
      </c>
      <c r="AP372">
        <f t="shared" si="348"/>
        <v>2.2374509118466226</v>
      </c>
      <c r="AQ372" s="60">
        <f t="shared" si="349"/>
        <v>-32.186995781636909</v>
      </c>
      <c r="AR372" t="str">
        <f t="shared" si="325"/>
        <v>-1,05811623246493</v>
      </c>
      <c r="AS372" t="str">
        <f t="shared" si="326"/>
        <v>1+6,44171961926486i</v>
      </c>
      <c r="AT372">
        <f t="shared" si="350"/>
        <v>6.5188765637356418</v>
      </c>
      <c r="AU372">
        <f t="shared" si="351"/>
        <v>1.4167875688668365</v>
      </c>
      <c r="AV372" t="str">
        <f t="shared" si="327"/>
        <v>1+6,44171961926486i</v>
      </c>
      <c r="AW372">
        <f t="shared" si="352"/>
        <v>6.5188765637356418</v>
      </c>
      <c r="AX372">
        <f t="shared" si="353"/>
        <v>1.4167875688668365</v>
      </c>
      <c r="AY372" t="str">
        <f t="shared" si="328"/>
        <v>1-0,00395151403026299i</v>
      </c>
      <c r="AZ372">
        <f t="shared" si="354"/>
        <v>1.0000078072010894</v>
      </c>
      <c r="BA372">
        <f t="shared" si="355"/>
        <v>-3.9514934635322928E-3</v>
      </c>
      <c r="BB372" s="58" t="str">
        <f t="shared" si="356"/>
        <v>-0,0242655400743166+0,160492966707017i</v>
      </c>
      <c r="BC372">
        <f t="shared" si="357"/>
        <v>-15.792719802828826</v>
      </c>
      <c r="BD372" s="60">
        <f t="shared" si="358"/>
        <v>98.597647939095864</v>
      </c>
      <c r="BE372" s="58" t="str">
        <f t="shared" si="359"/>
        <v>0,0353120171015217-0,0222577486128655i</v>
      </c>
      <c r="BF372" s="37">
        <f t="shared" si="360"/>
        <v>-27.588656160081339</v>
      </c>
      <c r="BG372" s="60">
        <f t="shared" si="361"/>
        <v>-32.223909395671321</v>
      </c>
      <c r="BH372" s="58" t="str">
        <f t="shared" si="362"/>
        <v>0,0840408586468503+0,192459449395978i</v>
      </c>
      <c r="BI372" s="37">
        <f t="shared" si="363"/>
        <v>-13.555268890982209</v>
      </c>
      <c r="BJ372" s="60">
        <f t="shared" si="364"/>
        <v>66.410652157458955</v>
      </c>
      <c r="BK372">
        <f t="shared" si="365"/>
        <v>-27.588656160081339</v>
      </c>
      <c r="BL372" s="60">
        <f t="shared" si="366"/>
        <v>-32.223909395671321</v>
      </c>
      <c r="BN372">
        <f t="shared" si="367"/>
        <v>0</v>
      </c>
      <c r="BO372">
        <f t="shared" si="368"/>
        <v>0</v>
      </c>
    </row>
    <row r="373" spans="13:67" x14ac:dyDescent="0.25">
      <c r="M373" s="66">
        <v>55</v>
      </c>
      <c r="N373" s="36">
        <f t="shared" si="316"/>
        <v>35481.33892335758</v>
      </c>
      <c r="O373" s="91" t="str">
        <f t="shared" si="317"/>
        <v>13,7404580152672</v>
      </c>
      <c r="P373" s="67" t="str">
        <f t="shared" si="318"/>
        <v>1+240,770693594484i</v>
      </c>
      <c r="Q373" s="67">
        <f t="shared" si="329"/>
        <v>240.77277025022764</v>
      </c>
      <c r="R373" s="67">
        <f t="shared" si="330"/>
        <v>1.5666430212780076</v>
      </c>
      <c r="S373" s="67" t="str">
        <f t="shared" si="319"/>
        <v>1+6,68807482206901i</v>
      </c>
      <c r="T373" s="67">
        <f t="shared" si="331"/>
        <v>6.7624215208454297</v>
      </c>
      <c r="U373" s="67">
        <f t="shared" si="332"/>
        <v>1.4223759884186777</v>
      </c>
      <c r="V373" t="str">
        <f t="shared" si="320"/>
        <v>1-1,39334892126438i</v>
      </c>
      <c r="W373" s="67">
        <f t="shared" si="333"/>
        <v>1.7150572049901456</v>
      </c>
      <c r="X373" s="67">
        <f t="shared" si="334"/>
        <v>-0.94829276773919491</v>
      </c>
      <c r="Y373" t="str">
        <f t="shared" si="321"/>
        <v>0,919428773645173+2,41769083050535i</v>
      </c>
      <c r="Z373" s="67">
        <f t="shared" si="335"/>
        <v>2.5866152055758729</v>
      </c>
      <c r="AA373" s="67">
        <f t="shared" si="336"/>
        <v>1.2073940804156094</v>
      </c>
      <c r="AB373" s="92" t="str">
        <f t="shared" si="337"/>
        <v>-0,170480467470435-0,190821776875704i</v>
      </c>
      <c r="AC373" s="37">
        <f t="shared" si="338"/>
        <v>-11.839142761154516</v>
      </c>
      <c r="AD373" s="60">
        <f t="shared" si="339"/>
        <v>-131.77765045684379</v>
      </c>
      <c r="AE373" t="str">
        <f t="shared" si="340"/>
        <v>21,0353732052265</v>
      </c>
      <c r="AF373" t="str">
        <f t="shared" si="322"/>
        <v>1+120,385346797242i</v>
      </c>
      <c r="AG373">
        <f t="shared" si="341"/>
        <v>120.38950005499743</v>
      </c>
      <c r="AH373">
        <f t="shared" si="342"/>
        <v>1.5624898590447731</v>
      </c>
      <c r="AI373" t="str">
        <f t="shared" si="323"/>
        <v>1+6,68807482206901i</v>
      </c>
      <c r="AJ373">
        <f t="shared" si="343"/>
        <v>6.7624215208454297</v>
      </c>
      <c r="AK373">
        <f t="shared" si="344"/>
        <v>1.4223759884186777</v>
      </c>
      <c r="AL373" t="str">
        <f t="shared" si="324"/>
        <v>1-0,455065852100679i</v>
      </c>
      <c r="AM373">
        <f t="shared" si="345"/>
        <v>1.098674169054737</v>
      </c>
      <c r="AN373">
        <f t="shared" si="346"/>
        <v>-0.42705869695168136</v>
      </c>
      <c r="AO373" s="58" t="str">
        <f t="shared" si="347"/>
        <v>1,09490994088854-0,697443070806671i</v>
      </c>
      <c r="AP373">
        <f t="shared" si="348"/>
        <v>2.2666552528329653</v>
      </c>
      <c r="AQ373" s="60">
        <f t="shared" si="349"/>
        <v>-32.49659437780516</v>
      </c>
      <c r="AR373" t="str">
        <f t="shared" si="325"/>
        <v>-1,05811623246493</v>
      </c>
      <c r="AS373" t="str">
        <f t="shared" si="326"/>
        <v>1+6,59176654463121i</v>
      </c>
      <c r="AT373">
        <f t="shared" si="350"/>
        <v>6.6671872764246913</v>
      </c>
      <c r="AU373">
        <f t="shared" si="351"/>
        <v>1.4202399008476378</v>
      </c>
      <c r="AV373" t="str">
        <f t="shared" si="327"/>
        <v>1+6,59176654463121i</v>
      </c>
      <c r="AW373">
        <f t="shared" si="352"/>
        <v>6.6671872764246913</v>
      </c>
      <c r="AX373">
        <f t="shared" si="353"/>
        <v>1.4202399008476378</v>
      </c>
      <c r="AY373" t="str">
        <f t="shared" si="328"/>
        <v>1-0,00386156658950208i</v>
      </c>
      <c r="AZ373">
        <f t="shared" si="354"/>
        <v>1.0000074558204679</v>
      </c>
      <c r="BA373">
        <f t="shared" si="355"/>
        <v>-3.8615473955041103E-3</v>
      </c>
      <c r="BB373" s="58" t="str">
        <f t="shared" si="356"/>
        <v>-0,0231979799365287+0,157001654339732i</v>
      </c>
      <c r="BC373">
        <f t="shared" si="357"/>
        <v>-15.988120787837923</v>
      </c>
      <c r="BD373" s="60">
        <f t="shared" si="358"/>
        <v>98.404997417199738</v>
      </c>
      <c r="BE373" s="58" t="str">
        <f t="shared" si="359"/>
        <v>0,0339141371174819-0,0223390356740538i</v>
      </c>
      <c r="BF373" s="37">
        <f t="shared" si="360"/>
        <v>-27.827263548992448</v>
      </c>
      <c r="BG373" s="60">
        <f t="shared" si="361"/>
        <v>-33.372653039644064</v>
      </c>
      <c r="BH373" s="58" t="str">
        <f t="shared" si="362"/>
        <v>0,084100017083392+0,188081942435963i</v>
      </c>
      <c r="BI373" s="37">
        <f t="shared" si="363"/>
        <v>-13.721465535004963</v>
      </c>
      <c r="BJ373" s="60">
        <f t="shared" si="364"/>
        <v>65.908403039394571</v>
      </c>
      <c r="BK373">
        <f t="shared" si="365"/>
        <v>-27.827263548992448</v>
      </c>
      <c r="BL373" s="60">
        <f t="shared" si="366"/>
        <v>-33.372653039644064</v>
      </c>
      <c r="BN373">
        <f t="shared" si="367"/>
        <v>0</v>
      </c>
      <c r="BO373">
        <f t="shared" si="368"/>
        <v>0</v>
      </c>
    </row>
    <row r="374" spans="13:67" x14ac:dyDescent="0.25">
      <c r="M374" s="66">
        <v>56</v>
      </c>
      <c r="N374" s="36">
        <f t="shared" si="316"/>
        <v>36307.805477010232</v>
      </c>
      <c r="O374" s="91" t="str">
        <f t="shared" si="317"/>
        <v>13,7404580152672</v>
      </c>
      <c r="P374" s="67" t="str">
        <f t="shared" si="318"/>
        <v>1+246,378963501812i</v>
      </c>
      <c r="Q374" s="67">
        <f t="shared" si="329"/>
        <v>246.38099288749368</v>
      </c>
      <c r="R374" s="67">
        <f t="shared" si="330"/>
        <v>1.5667375610034195</v>
      </c>
      <c r="S374" s="67" t="str">
        <f t="shared" si="319"/>
        <v>1+6,84386009727256i</v>
      </c>
      <c r="T374" s="67">
        <f t="shared" si="331"/>
        <v>6.9165324427085269</v>
      </c>
      <c r="U374" s="67">
        <f t="shared" si="332"/>
        <v>1.4257066963587599</v>
      </c>
      <c r="V374" t="str">
        <f t="shared" si="320"/>
        <v>1-1,42580418693178i</v>
      </c>
      <c r="W374" s="67">
        <f t="shared" si="333"/>
        <v>1.7415273697166502</v>
      </c>
      <c r="X374" s="67">
        <f t="shared" si="334"/>
        <v>-0.95915914554783466</v>
      </c>
      <c r="Y374" t="str">
        <f t="shared" si="321"/>
        <v>0,915631568732389+2,47400608435756i</v>
      </c>
      <c r="Z374" s="67">
        <f t="shared" si="335"/>
        <v>2.6380082022422831</v>
      </c>
      <c r="AA374" s="67">
        <f t="shared" si="336"/>
        <v>1.2163277705743818</v>
      </c>
      <c r="AB374" s="92" t="str">
        <f t="shared" si="337"/>
        <v>-0,17277770454833-0,187062475490118i</v>
      </c>
      <c r="AC374" s="37">
        <f t="shared" si="338"/>
        <v>-11.881268211474625</v>
      </c>
      <c r="AD374" s="60">
        <f t="shared" si="339"/>
        <v>-132.72669200495378</v>
      </c>
      <c r="AE374" t="str">
        <f t="shared" si="340"/>
        <v>21,0353732052265</v>
      </c>
      <c r="AF374" t="str">
        <f t="shared" si="322"/>
        <v>1+123,189481750906i</v>
      </c>
      <c r="AG374">
        <f t="shared" si="341"/>
        <v>123.19354047212379</v>
      </c>
      <c r="AH374">
        <f t="shared" si="342"/>
        <v>1.5626789289323408</v>
      </c>
      <c r="AI374" t="str">
        <f t="shared" si="323"/>
        <v>1+6,84386009727256i</v>
      </c>
      <c r="AJ374">
        <f t="shared" si="343"/>
        <v>6.9165324427085269</v>
      </c>
      <c r="AK374">
        <f t="shared" si="344"/>
        <v>1.4257066963587599</v>
      </c>
      <c r="AL374" t="str">
        <f t="shared" si="324"/>
        <v>1-0,465665697480894i</v>
      </c>
      <c r="AM374">
        <f t="shared" si="345"/>
        <v>1.1031067680919955</v>
      </c>
      <c r="AN374">
        <f t="shared" si="346"/>
        <v>-0.43580488083905178</v>
      </c>
      <c r="AO374" s="58" t="str">
        <f t="shared" si="347"/>
        <v>1,09484801910874-0,706060494909283i</v>
      </c>
      <c r="AP374">
        <f t="shared" si="348"/>
        <v>2.2973650506653511</v>
      </c>
      <c r="AQ374" s="60">
        <f t="shared" si="349"/>
        <v>-32.817711200230143</v>
      </c>
      <c r="AR374" t="str">
        <f t="shared" si="325"/>
        <v>-1,05811623246493</v>
      </c>
      <c r="AS374" t="str">
        <f t="shared" si="326"/>
        <v>1+6,74530851187183i</v>
      </c>
      <c r="AT374">
        <f t="shared" si="350"/>
        <v>6.8190312303384104</v>
      </c>
      <c r="AU374">
        <f t="shared" si="351"/>
        <v>1.4236171460426497</v>
      </c>
      <c r="AV374" t="str">
        <f t="shared" si="327"/>
        <v>1+6,74530851187183i</v>
      </c>
      <c r="AW374">
        <f t="shared" si="352"/>
        <v>6.8190312303384104</v>
      </c>
      <c r="AX374">
        <f t="shared" si="353"/>
        <v>1.4236171460426497</v>
      </c>
      <c r="AY374" t="str">
        <f t="shared" si="328"/>
        <v>1-0,00377366660246083i</v>
      </c>
      <c r="AZ374">
        <f t="shared" si="354"/>
        <v>1.0000071202544643</v>
      </c>
      <c r="BA374">
        <f t="shared" si="355"/>
        <v>-3.7736486895724626E-3</v>
      </c>
      <c r="BB374" s="58" t="str">
        <f t="shared" si="356"/>
        <v>-0,0221763525993742+0,153579317838804i</v>
      </c>
      <c r="BC374">
        <f t="shared" si="357"/>
        <v>-16.183724205575196</v>
      </c>
      <c r="BD374" s="60">
        <f t="shared" si="358"/>
        <v>98.216531746019271</v>
      </c>
      <c r="BE374" s="58" t="str">
        <f t="shared" si="359"/>
        <v>0,0325605066763846-0,0223867185877063i</v>
      </c>
      <c r="BF374" s="37">
        <f t="shared" si="360"/>
        <v>-28.064992417049808</v>
      </c>
      <c r="BG374" s="60">
        <f t="shared" si="361"/>
        <v>-34.510160258934484</v>
      </c>
      <c r="BH374" s="58" t="str">
        <f t="shared" si="362"/>
        <v>0,0841565534466142+0,183803858403483i</v>
      </c>
      <c r="BI374" s="37">
        <f t="shared" si="363"/>
        <v>-13.886359154909844</v>
      </c>
      <c r="BJ374" s="60">
        <f t="shared" si="364"/>
        <v>65.39882054578915</v>
      </c>
      <c r="BK374">
        <f t="shared" si="365"/>
        <v>-28.064992417049808</v>
      </c>
      <c r="BL374" s="60">
        <f t="shared" si="366"/>
        <v>-34.510160258934484</v>
      </c>
      <c r="BN374">
        <f t="shared" si="367"/>
        <v>0</v>
      </c>
      <c r="BO374">
        <f t="shared" si="368"/>
        <v>0</v>
      </c>
    </row>
    <row r="375" spans="13:67" x14ac:dyDescent="0.25">
      <c r="M375" s="66">
        <v>57</v>
      </c>
      <c r="N375" s="36">
        <f t="shared" si="316"/>
        <v>37153.522909717351</v>
      </c>
      <c r="O375" s="91" t="str">
        <f t="shared" si="317"/>
        <v>13,7404580152672</v>
      </c>
      <c r="P375" s="67" t="str">
        <f t="shared" si="318"/>
        <v>1+252,1178667968i</v>
      </c>
      <c r="Q375" s="67">
        <f t="shared" si="329"/>
        <v>252.11984998839142</v>
      </c>
      <c r="R375" s="67">
        <f t="shared" si="330"/>
        <v>1.5668299488120581</v>
      </c>
      <c r="S375" s="67" t="str">
        <f t="shared" si="319"/>
        <v>1+7,00327407768889i</v>
      </c>
      <c r="T375" s="67">
        <f t="shared" si="331"/>
        <v>7.074308998568636</v>
      </c>
      <c r="U375" s="67">
        <f t="shared" si="332"/>
        <v>1.4289647237433314</v>
      </c>
      <c r="V375" t="str">
        <f t="shared" si="320"/>
        <v>1-1,45901543285185i</v>
      </c>
      <c r="W375" s="67">
        <f t="shared" si="333"/>
        <v>1.7688205203750527</v>
      </c>
      <c r="X375" s="67">
        <f t="shared" si="334"/>
        <v>-0.96994065356522596</v>
      </c>
      <c r="Y375" t="str">
        <f t="shared" si="321"/>
        <v>0,911655407065415+2,53163308898304i</v>
      </c>
      <c r="Z375" s="67">
        <f t="shared" si="335"/>
        <v>2.6907771513942613</v>
      </c>
      <c r="AA375" s="67">
        <f t="shared" si="336"/>
        <v>1.2251472108908217</v>
      </c>
      <c r="AB375" s="92" t="str">
        <f t="shared" si="337"/>
        <v>-0,174999702608387-0,183329269651305i</v>
      </c>
      <c r="AC375" s="37">
        <f t="shared" si="338"/>
        <v>-11.922315369679943</v>
      </c>
      <c r="AD375" s="60">
        <f t="shared" si="339"/>
        <v>-133.66836583177582</v>
      </c>
      <c r="AE375" t="str">
        <f t="shared" si="340"/>
        <v>21,0353732052265</v>
      </c>
      <c r="AF375" t="str">
        <f t="shared" si="322"/>
        <v>1+126,0589333984i</v>
      </c>
      <c r="AG375">
        <f t="shared" si="341"/>
        <v>126.06289973478418</v>
      </c>
      <c r="AH375">
        <f t="shared" si="342"/>
        <v>1.5628636956246338</v>
      </c>
      <c r="AI375" t="str">
        <f t="shared" si="323"/>
        <v>1+7,00327407768889i</v>
      </c>
      <c r="AJ375">
        <f t="shared" si="343"/>
        <v>7.074308998568636</v>
      </c>
      <c r="AK375">
        <f t="shared" si="344"/>
        <v>1.4289647237433314</v>
      </c>
      <c r="AL375" t="str">
        <f t="shared" si="324"/>
        <v>1-0,476512444977728i</v>
      </c>
      <c r="AM375">
        <f t="shared" si="345"/>
        <v>1.1077292585368739</v>
      </c>
      <c r="AN375">
        <f t="shared" si="346"/>
        <v>-0.44468163224608931</v>
      </c>
      <c r="AO375" s="58" t="str">
        <f t="shared" si="347"/>
        <v>1,09478888390913-0,715052236376582i</v>
      </c>
      <c r="AP375">
        <f t="shared" si="348"/>
        <v>2.329611625226204</v>
      </c>
      <c r="AQ375" s="60">
        <f t="shared" si="349"/>
        <v>-33.150226724628929</v>
      </c>
      <c r="AR375" t="str">
        <f t="shared" si="325"/>
        <v>-1,05811623246493</v>
      </c>
      <c r="AS375" t="str">
        <f t="shared" si="326"/>
        <v>1+6,90242693097016i</v>
      </c>
      <c r="AT375">
        <f t="shared" si="350"/>
        <v>6.9744890520655449</v>
      </c>
      <c r="AU375">
        <f t="shared" si="351"/>
        <v>1.4269207867914651</v>
      </c>
      <c r="AV375" t="str">
        <f t="shared" si="327"/>
        <v>1+6,90242693097016i</v>
      </c>
      <c r="AW375">
        <f t="shared" si="352"/>
        <v>6.9744890520655449</v>
      </c>
      <c r="AX375">
        <f t="shared" si="353"/>
        <v>1.4269207867914651</v>
      </c>
      <c r="AY375" t="str">
        <f t="shared" si="328"/>
        <v>1-0,00368776746340257i</v>
      </c>
      <c r="AZ375">
        <f t="shared" si="354"/>
        <v>1.0000067997913136</v>
      </c>
      <c r="BA375">
        <f t="shared" si="355"/>
        <v>-3.6877507461160327E-3</v>
      </c>
      <c r="BB375" s="58" t="str">
        <f t="shared" si="356"/>
        <v>-0,0211987709957945+0,150225054439424i</v>
      </c>
      <c r="BC375">
        <f t="shared" si="357"/>
        <v>-16.379521337602917</v>
      </c>
      <c r="BD375" s="60">
        <f t="shared" si="358"/>
        <v>98.032168663713563</v>
      </c>
      <c r="BE375" s="58" t="str">
        <f t="shared" si="359"/>
        <v>0,0312504281336345-0,0224029846470637i</v>
      </c>
      <c r="BF375" s="37">
        <f t="shared" si="360"/>
        <v>-28.301836707282853</v>
      </c>
      <c r="BG375" s="60">
        <f t="shared" si="361"/>
        <v>-35.63619716806226</v>
      </c>
      <c r="BH375" s="58" t="str">
        <f t="shared" si="362"/>
        <v>0,0842105822979728+0,179622948293903i</v>
      </c>
      <c r="BI375" s="37">
        <f t="shared" si="363"/>
        <v>-14.049909712376721</v>
      </c>
      <c r="BJ375" s="60">
        <f t="shared" si="364"/>
        <v>64.881941939084626</v>
      </c>
      <c r="BK375">
        <f t="shared" si="365"/>
        <v>-28.301836707282853</v>
      </c>
      <c r="BL375" s="60">
        <f t="shared" si="366"/>
        <v>-35.63619716806226</v>
      </c>
      <c r="BN375">
        <f t="shared" si="367"/>
        <v>0</v>
      </c>
      <c r="BO375">
        <f t="shared" si="368"/>
        <v>0</v>
      </c>
    </row>
    <row r="376" spans="13:67" x14ac:dyDescent="0.25">
      <c r="M376" s="66">
        <v>58</v>
      </c>
      <c r="N376" s="36">
        <f t="shared" si="316"/>
        <v>38018.939632056143</v>
      </c>
      <c r="O376" s="91" t="str">
        <f t="shared" si="317"/>
        <v>13,7404580152672</v>
      </c>
      <c r="P376" s="67" t="str">
        <f t="shared" si="318"/>
        <v>1+257,990446321938i</v>
      </c>
      <c r="Q376" s="67">
        <f t="shared" si="329"/>
        <v>257.99238437092049</v>
      </c>
      <c r="R376" s="67">
        <f t="shared" si="330"/>
        <v>1.5669202336828496</v>
      </c>
      <c r="S376" s="67" t="str">
        <f t="shared" si="319"/>
        <v>1+7,1664012867205i</v>
      </c>
      <c r="T376" s="67">
        <f t="shared" si="331"/>
        <v>7.2358349485259303</v>
      </c>
      <c r="U376" s="67">
        <f t="shared" si="332"/>
        <v>1.4321515212124156</v>
      </c>
      <c r="V376" t="str">
        <f t="shared" si="320"/>
        <v>1-1,49300026806677i</v>
      </c>
      <c r="W376" s="67">
        <f t="shared" si="333"/>
        <v>1.7969557035295689</v>
      </c>
      <c r="X376" s="67">
        <f t="shared" si="334"/>
        <v>-0.98063298233949148</v>
      </c>
      <c r="Y376" t="str">
        <f t="shared" si="321"/>
        <v>0,90749185467226+2,59060239898242i</v>
      </c>
      <c r="Z376" s="67">
        <f t="shared" si="335"/>
        <v>2.7449521409142941</v>
      </c>
      <c r="AA376" s="67">
        <f t="shared" si="336"/>
        <v>1.2338529535201477</v>
      </c>
      <c r="AB376" s="92" t="str">
        <f t="shared" si="337"/>
        <v>-0,177147742919256-0,179623720203273i</v>
      </c>
      <c r="AC376" s="37">
        <f t="shared" si="338"/>
        <v>-11.962288604118163</v>
      </c>
      <c r="AD376" s="60">
        <f t="shared" si="339"/>
        <v>-134.60237635080372</v>
      </c>
      <c r="AE376" t="str">
        <f t="shared" si="340"/>
        <v>21,0353732052265</v>
      </c>
      <c r="AF376" t="str">
        <f t="shared" si="322"/>
        <v>1+128,995223160969i</v>
      </c>
      <c r="AG376">
        <f t="shared" si="341"/>
        <v>128.99909921525884</v>
      </c>
      <c r="AH376">
        <f t="shared" si="342"/>
        <v>1.5630442570369072</v>
      </c>
      <c r="AI376" t="str">
        <f t="shared" si="323"/>
        <v>1+7,1664012867205i</v>
      </c>
      <c r="AJ376">
        <f t="shared" si="343"/>
        <v>7.2358349485259303</v>
      </c>
      <c r="AK376">
        <f t="shared" si="344"/>
        <v>1.4321515212124156</v>
      </c>
      <c r="AL376" t="str">
        <f t="shared" si="324"/>
        <v>1-0,487611845680278i</v>
      </c>
      <c r="AM376">
        <f t="shared" si="345"/>
        <v>1.1125490155708768</v>
      </c>
      <c r="AN376">
        <f t="shared" si="346"/>
        <v>-0.45368806106399057</v>
      </c>
      <c r="AO376" s="58" t="str">
        <f t="shared" si="347"/>
        <v>1,0947324099045-0,724423065769151i</v>
      </c>
      <c r="AP376">
        <f t="shared" si="348"/>
        <v>2.36342699207191</v>
      </c>
      <c r="AQ376" s="60">
        <f t="shared" si="349"/>
        <v>-33.494012446104406</v>
      </c>
      <c r="AR376" t="str">
        <f t="shared" si="325"/>
        <v>-1,05811623246493</v>
      </c>
      <c r="AS376" t="str">
        <f t="shared" si="326"/>
        <v>1+7,06320510819172i</v>
      </c>
      <c r="AT376">
        <f t="shared" si="350"/>
        <v>7.1336432767826023</v>
      </c>
      <c r="AU376">
        <f t="shared" si="351"/>
        <v>1.4301522861295819</v>
      </c>
      <c r="AV376" t="str">
        <f t="shared" si="327"/>
        <v>1+7,06320510819172i</v>
      </c>
      <c r="AW376">
        <f t="shared" si="352"/>
        <v>7.1336432767826023</v>
      </c>
      <c r="AX376">
        <f t="shared" si="353"/>
        <v>1.4301522861295819</v>
      </c>
      <c r="AY376" t="str">
        <f t="shared" si="328"/>
        <v>1-0,00360382362746679i</v>
      </c>
      <c r="AZ376">
        <f t="shared" si="354"/>
        <v>1.0000064937512845</v>
      </c>
      <c r="BA376">
        <f t="shared" si="355"/>
        <v>-3.6038080259815017E-3</v>
      </c>
      <c r="BB376" s="58" t="str">
        <f t="shared" si="356"/>
        <v>-0,0202634178685821+0,146937940877955i</v>
      </c>
      <c r="BC376">
        <f t="shared" si="357"/>
        <v>-16.575503824405406</v>
      </c>
      <c r="BD376" s="60">
        <f t="shared" si="358"/>
        <v>97.851826953724782</v>
      </c>
      <c r="BE376" s="58" t="str">
        <f t="shared" si="359"/>
        <v>0,0299831583187559-0,0223899340741446i</v>
      </c>
      <c r="BF376" s="37">
        <f t="shared" si="360"/>
        <v>-28.537792428523566</v>
      </c>
      <c r="BG376" s="60">
        <f t="shared" si="361"/>
        <v>-36.750549397078913</v>
      </c>
      <c r="BH376" s="58" t="str">
        <f t="shared" si="362"/>
        <v>0,0842622133324396+0,175537013419048i</v>
      </c>
      <c r="BI376" s="37">
        <f t="shared" si="363"/>
        <v>-14.212076832333501</v>
      </c>
      <c r="BJ376" s="60">
        <f t="shared" si="364"/>
        <v>64.357814507620375</v>
      </c>
      <c r="BK376">
        <f t="shared" si="365"/>
        <v>-28.537792428523566</v>
      </c>
      <c r="BL376" s="60">
        <f t="shared" si="366"/>
        <v>-36.750549397078913</v>
      </c>
      <c r="BN376">
        <f t="shared" si="367"/>
        <v>0</v>
      </c>
      <c r="BO376">
        <f t="shared" si="368"/>
        <v>0</v>
      </c>
    </row>
    <row r="377" spans="13:67" x14ac:dyDescent="0.25">
      <c r="M377" s="66">
        <v>59</v>
      </c>
      <c r="N377" s="36">
        <f t="shared" si="316"/>
        <v>38904.514499428085</v>
      </c>
      <c r="O377" s="91" t="str">
        <f t="shared" si="317"/>
        <v>13,7404580152672</v>
      </c>
      <c r="P377" s="67" t="str">
        <f t="shared" si="318"/>
        <v>1+263,999815796623i</v>
      </c>
      <c r="Q377" s="67">
        <f t="shared" si="329"/>
        <v>264.00170973054486</v>
      </c>
      <c r="R377" s="67">
        <f t="shared" si="330"/>
        <v>1.5670084634801373</v>
      </c>
      <c r="S377" s="67" t="str">
        <f t="shared" si="319"/>
        <v>1+7,33332821657287i</v>
      </c>
      <c r="T377" s="67">
        <f t="shared" si="331"/>
        <v>7.4011960338842409</v>
      </c>
      <c r="U377" s="67">
        <f t="shared" si="332"/>
        <v>1.4352685193999117</v>
      </c>
      <c r="V377" t="str">
        <f t="shared" si="320"/>
        <v>1-1,52777671178601i</v>
      </c>
      <c r="W377" s="67">
        <f t="shared" si="333"/>
        <v>1.8259522669214747</v>
      </c>
      <c r="X377" s="67">
        <f t="shared" si="334"/>
        <v>-0.99123202177789704</v>
      </c>
      <c r="Y377" t="str">
        <f t="shared" si="321"/>
        <v>0,903132080100082+2,65094528066442i</v>
      </c>
      <c r="Z377" s="67">
        <f t="shared" si="335"/>
        <v>2.8005639494899701</v>
      </c>
      <c r="AA377" s="67">
        <f t="shared" si="336"/>
        <v>1.2424456908014565</v>
      </c>
      <c r="AB377" s="92" t="str">
        <f t="shared" si="337"/>
        <v>-0,179223171049412-0,175947281946857i</v>
      </c>
      <c r="AC377" s="37">
        <f t="shared" si="338"/>
        <v>-12.001193927098011</v>
      </c>
      <c r="AD377" s="60">
        <f t="shared" si="339"/>
        <v>-135.5284485123191</v>
      </c>
      <c r="AE377" t="str">
        <f t="shared" si="340"/>
        <v>21,0353732052265</v>
      </c>
      <c r="AF377" t="str">
        <f t="shared" si="322"/>
        <v>1+131,999907898312i</v>
      </c>
      <c r="AG377">
        <f t="shared" si="341"/>
        <v>132.00369572539569</v>
      </c>
      <c r="AH377">
        <f t="shared" si="342"/>
        <v>1.5632207088580914</v>
      </c>
      <c r="AI377" t="str">
        <f t="shared" si="323"/>
        <v>1+7,33332821657287i</v>
      </c>
      <c r="AJ377">
        <f t="shared" si="343"/>
        <v>7.4011960338842409</v>
      </c>
      <c r="AK377">
        <f t="shared" si="344"/>
        <v>1.4352685193999117</v>
      </c>
      <c r="AL377" t="str">
        <f t="shared" si="324"/>
        <v>1-0,498969784637713i</v>
      </c>
      <c r="AM377">
        <f t="shared" si="345"/>
        <v>1.1175736423079268</v>
      </c>
      <c r="AN377">
        <f t="shared" si="346"/>
        <v>-0.46282309712782027</v>
      </c>
      <c r="AO377" s="58" t="str">
        <f t="shared" si="347"/>
        <v>1,09467847735017-0,734177954443458i</v>
      </c>
      <c r="AP377">
        <f t="shared" si="348"/>
        <v>2.3988437826726612</v>
      </c>
      <c r="AQ377" s="60">
        <f t="shared" si="349"/>
        <v>-33.848930562009308</v>
      </c>
      <c r="AR377" t="str">
        <f t="shared" si="325"/>
        <v>-1,05811623246493</v>
      </c>
      <c r="AS377" t="str">
        <f t="shared" si="326"/>
        <v>1+7,22772829025421i</v>
      </c>
      <c r="AT377">
        <f t="shared" si="350"/>
        <v>7.2965783924892538</v>
      </c>
      <c r="AU377">
        <f t="shared" si="351"/>
        <v>1.433313087338008</v>
      </c>
      <c r="AV377" t="str">
        <f t="shared" si="327"/>
        <v>1+7,22772829025421i</v>
      </c>
      <c r="AW377">
        <f t="shared" si="352"/>
        <v>7.2965783924892538</v>
      </c>
      <c r="AX377">
        <f t="shared" si="353"/>
        <v>1.433313087338008</v>
      </c>
      <c r="AY377" t="str">
        <f t="shared" si="328"/>
        <v>1-0,00352179058652054i</v>
      </c>
      <c r="AZ377">
        <f t="shared" si="354"/>
        <v>1.0000062014852384</v>
      </c>
      <c r="BA377">
        <f t="shared" si="355"/>
        <v>-3.5217760263621892E-3</v>
      </c>
      <c r="BB377" s="58" t="str">
        <f t="shared" si="356"/>
        <v>-0,0193685438671357+0,143717036236466i</v>
      </c>
      <c r="BC377">
        <f t="shared" si="357"/>
        <v>-16.7716636520456</v>
      </c>
      <c r="BD377" s="60">
        <f t="shared" si="358"/>
        <v>97.675426471965281</v>
      </c>
      <c r="BE377" s="58" t="str">
        <f t="shared" si="359"/>
        <v>0,0287579137457418-0,0223495803194317i</v>
      </c>
      <c r="BF377" s="37">
        <f t="shared" si="360"/>
        <v>-28.772857579143619</v>
      </c>
      <c r="BG377" s="60">
        <f t="shared" si="361"/>
        <v>-37.853022040353871</v>
      </c>
      <c r="BH377" s="58" t="str">
        <f t="shared" si="362"/>
        <v>0,0843115515737989+0,171543904313536i</v>
      </c>
      <c r="BI377" s="37">
        <f t="shared" si="363"/>
        <v>-14.372819869372936</v>
      </c>
      <c r="BJ377" s="60">
        <f t="shared" si="364"/>
        <v>63.826495909955973</v>
      </c>
      <c r="BK377">
        <f t="shared" si="365"/>
        <v>-28.772857579143619</v>
      </c>
      <c r="BL377" s="60">
        <f t="shared" si="366"/>
        <v>-37.853022040353871</v>
      </c>
      <c r="BN377">
        <f t="shared" si="367"/>
        <v>0</v>
      </c>
      <c r="BO377">
        <f t="shared" si="368"/>
        <v>0</v>
      </c>
    </row>
    <row r="378" spans="13:67" x14ac:dyDescent="0.25">
      <c r="M378" s="66">
        <v>60</v>
      </c>
      <c r="N378" s="36">
        <f t="shared" si="316"/>
        <v>39810.717055349742</v>
      </c>
      <c r="O378" s="91" t="str">
        <f t="shared" si="317"/>
        <v>13,7404580152672</v>
      </c>
      <c r="P378" s="67" t="str">
        <f t="shared" si="318"/>
        <v>1+270,149161468094i</v>
      </c>
      <c r="Q378" s="67">
        <f t="shared" si="329"/>
        <v>270.15101229111531</v>
      </c>
      <c r="R378" s="67">
        <f t="shared" si="330"/>
        <v>1.5670946849790293</v>
      </c>
      <c r="S378" s="67" t="str">
        <f t="shared" si="319"/>
        <v>1+7,50414337411372i</v>
      </c>
      <c r="T378" s="67">
        <f t="shared" si="331"/>
        <v>7.5704800230404707</v>
      </c>
      <c r="U378" s="67">
        <f t="shared" si="332"/>
        <v>1.4383171285821128</v>
      </c>
      <c r="V378" t="str">
        <f t="shared" si="320"/>
        <v>1-1,56336320294036i</v>
      </c>
      <c r="W378" s="67">
        <f t="shared" si="333"/>
        <v>1.8558298694406072</v>
      </c>
      <c r="X378" s="67">
        <f t="shared" si="334"/>
        <v>-1.0017338659730723</v>
      </c>
      <c r="Y378" t="str">
        <f t="shared" si="321"/>
        <v>0,898566835682489+2,71269372862363i</v>
      </c>
      <c r="Z378" s="67">
        <f t="shared" si="335"/>
        <v>2.8576440687220681</v>
      </c>
      <c r="AA378" s="67">
        <f t="shared" si="336"/>
        <v>1.2509262485997401</v>
      </c>
      <c r="AB378" s="92" t="str">
        <f t="shared" si="337"/>
        <v>-0,18122738845874-0,172301303736638i</v>
      </c>
      <c r="AC378" s="37">
        <f t="shared" si="338"/>
        <v>-12.03903892598767</v>
      </c>
      <c r="AD378" s="60">
        <f t="shared" si="339"/>
        <v>-136.44632772002993</v>
      </c>
      <c r="AE378" t="str">
        <f t="shared" si="340"/>
        <v>21,0353732052265</v>
      </c>
      <c r="AF378" t="str">
        <f t="shared" si="322"/>
        <v>1+135,074580734047i</v>
      </c>
      <c r="AG378">
        <f t="shared" si="341"/>
        <v>135.07828234205002</v>
      </c>
      <c r="AH378">
        <f t="shared" si="342"/>
        <v>1.5633931446013007</v>
      </c>
      <c r="AI378" t="str">
        <f t="shared" si="323"/>
        <v>1+7,50414337411372i</v>
      </c>
      <c r="AJ378">
        <f t="shared" si="343"/>
        <v>7.5704800230404707</v>
      </c>
      <c r="AK378">
        <f t="shared" si="344"/>
        <v>1.4383171285821128</v>
      </c>
      <c r="AL378" t="str">
        <f t="shared" si="324"/>
        <v>1-0,510592283979607i</v>
      </c>
      <c r="AM378">
        <f t="shared" si="345"/>
        <v>1.1228109727195899</v>
      </c>
      <c r="AN378">
        <f t="shared" si="346"/>
        <v>-0.47208548452823751</v>
      </c>
      <c r="AO378" s="58" t="str">
        <f t="shared" si="347"/>
        <v>1,0946269718883-0,74432207720119i</v>
      </c>
      <c r="AP378">
        <f t="shared" si="348"/>
        <v>2.4358951600631036</v>
      </c>
      <c r="AQ378" s="60">
        <f t="shared" si="349"/>
        <v>-34.214833669066472</v>
      </c>
      <c r="AR378" t="str">
        <f t="shared" si="325"/>
        <v>-1,05811623246493</v>
      </c>
      <c r="AS378" t="str">
        <f t="shared" si="326"/>
        <v>1+7,39608370952648i</v>
      </c>
      <c r="AT378">
        <f t="shared" si="350"/>
        <v>7.4633808852505306</v>
      </c>
      <c r="AU378">
        <f t="shared" si="351"/>
        <v>1.4364046135548481</v>
      </c>
      <c r="AV378" t="str">
        <f t="shared" si="327"/>
        <v>1+7,39608370952648i</v>
      </c>
      <c r="AW378">
        <f t="shared" si="352"/>
        <v>7.4633808852505306</v>
      </c>
      <c r="AX378">
        <f t="shared" si="353"/>
        <v>1.4364046135548481</v>
      </c>
      <c r="AY378" t="str">
        <f t="shared" si="328"/>
        <v>1-0,00344162484555967i</v>
      </c>
      <c r="AZ378">
        <f t="shared" si="354"/>
        <v>1.0000059223732516</v>
      </c>
      <c r="BA378">
        <f t="shared" si="355"/>
        <v>-3.4416112572247179E-3</v>
      </c>
      <c r="BB378" s="58" t="str">
        <f t="shared" si="356"/>
        <v>-0,0185124656321922+0,140561384600567i</v>
      </c>
      <c r="BC378">
        <f t="shared" si="357"/>
        <v>-16.967993139192661</v>
      </c>
      <c r="BD378" s="60">
        <f t="shared" si="358"/>
        <v>97.502888170423503</v>
      </c>
      <c r="BE378" s="58" t="str">
        <f t="shared" si="359"/>
        <v>0,0275738756221591-0,0222838506854989i</v>
      </c>
      <c r="BF378" s="37">
        <f t="shared" si="360"/>
        <v>-29.007032065180319</v>
      </c>
      <c r="BG378" s="60">
        <f t="shared" si="361"/>
        <v>-38.943439549606353</v>
      </c>
      <c r="BH378" s="58" t="str">
        <f t="shared" si="362"/>
        <v>0,0843586975630166+0,167641519663214i</v>
      </c>
      <c r="BI378" s="37">
        <f t="shared" si="363"/>
        <v>-14.532097979129571</v>
      </c>
      <c r="BJ378" s="60">
        <f t="shared" si="364"/>
        <v>63.288054501357017</v>
      </c>
      <c r="BK378">
        <f t="shared" si="365"/>
        <v>-29.007032065180319</v>
      </c>
      <c r="BL378" s="60">
        <f t="shared" si="366"/>
        <v>-38.943439549606353</v>
      </c>
      <c r="BN378">
        <f t="shared" si="367"/>
        <v>0</v>
      </c>
      <c r="BO378">
        <f t="shared" si="368"/>
        <v>0</v>
      </c>
    </row>
    <row r="379" spans="13:67" x14ac:dyDescent="0.25">
      <c r="M379" s="66">
        <v>61</v>
      </c>
      <c r="N379" s="36">
        <f t="shared" si="316"/>
        <v>40738.027780411358</v>
      </c>
      <c r="O379" s="91" t="str">
        <f t="shared" si="317"/>
        <v>13,7404580152672</v>
      </c>
      <c r="P379" s="67" t="str">
        <f t="shared" si="318"/>
        <v>1+276,441743800822i</v>
      </c>
      <c r="Q379" s="67">
        <f t="shared" si="329"/>
        <v>276.4435524942466</v>
      </c>
      <c r="R379" s="67">
        <f t="shared" si="330"/>
        <v>1.5671789438901751</v>
      </c>
      <c r="S379" s="67" t="str">
        <f t="shared" si="319"/>
        <v>1+7,67893732780063i</v>
      </c>
      <c r="T379" s="67">
        <f t="shared" si="331"/>
        <v>7.7437767584228485</v>
      </c>
      <c r="U379" s="67">
        <f t="shared" si="332"/>
        <v>1.4412987383816536</v>
      </c>
      <c r="V379" t="str">
        <f t="shared" si="320"/>
        <v>1-1,59977860995846i</v>
      </c>
      <c r="W379" s="67">
        <f t="shared" si="333"/>
        <v>1.8866084916804076</v>
      </c>
      <c r="X379" s="67">
        <f t="shared" si="334"/>
        <v>-1.0121348170490847</v>
      </c>
      <c r="Y379" t="str">
        <f t="shared" si="321"/>
        <v>0,893786437923996+2,77588048270452i</v>
      </c>
      <c r="Z379" s="67">
        <f t="shared" si="335"/>
        <v>2.9162247257158946</v>
      </c>
      <c r="AA379" s="67">
        <f t="shared" si="336"/>
        <v>1.2592955796940228</v>
      </c>
      <c r="AB379" s="92" t="str">
        <f t="shared" si="337"/>
        <v>-0,183161844448964-0,168687029091378i</v>
      </c>
      <c r="AC379" s="37">
        <f t="shared" si="338"/>
        <v>-12.075832689239368</v>
      </c>
      <c r="AD379" s="60">
        <f t="shared" si="339"/>
        <v>-137.35577969098389</v>
      </c>
      <c r="AE379" t="str">
        <f t="shared" si="340"/>
        <v>21,0353732052265</v>
      </c>
      <c r="AF379" t="str">
        <f t="shared" si="322"/>
        <v>1+138,220871900411i</v>
      </c>
      <c r="AG379">
        <f t="shared" si="341"/>
        <v>138.22448925175968</v>
      </c>
      <c r="AH379">
        <f t="shared" si="342"/>
        <v>1.5635616556532079</v>
      </c>
      <c r="AI379" t="str">
        <f t="shared" si="323"/>
        <v>1+7,67893732780063i</v>
      </c>
      <c r="AJ379">
        <f t="shared" si="343"/>
        <v>7.7437767584228485</v>
      </c>
      <c r="AK379">
        <f t="shared" si="344"/>
        <v>1.4412987383816536</v>
      </c>
      <c r="AL379" t="str">
        <f t="shared" si="324"/>
        <v>1-0,522485506108958i</v>
      </c>
      <c r="AM379">
        <f t="shared" si="345"/>
        <v>1.1282690743319761</v>
      </c>
      <c r="AN379">
        <f t="shared" si="346"/>
        <v>-0.48147377628501969</v>
      </c>
      <c r="AO379" s="58" t="str">
        <f t="shared" si="347"/>
        <v>1,09457778430569-0,754860815045561i</v>
      </c>
      <c r="AP379">
        <f t="shared" si="348"/>
        <v>2.4746147299518566</v>
      </c>
      <c r="AQ379" s="60">
        <f t="shared" si="349"/>
        <v>-34.591564477975005</v>
      </c>
      <c r="AR379" t="str">
        <f t="shared" si="325"/>
        <v>-1,05811623246493</v>
      </c>
      <c r="AS379" t="str">
        <f t="shared" si="326"/>
        <v>1+7,56836063028029i</v>
      </c>
      <c r="AT379">
        <f t="shared" si="350"/>
        <v>7.6341392854713286</v>
      </c>
      <c r="AU379">
        <f t="shared" si="351"/>
        <v>1.4394282674447851</v>
      </c>
      <c r="AV379" t="str">
        <f t="shared" si="327"/>
        <v>1+7,56836063028029i</v>
      </c>
      <c r="AW379">
        <f t="shared" si="352"/>
        <v>7.6341392854713286</v>
      </c>
      <c r="AX379">
        <f t="shared" si="353"/>
        <v>1.4394282674447851</v>
      </c>
      <c r="AY379" t="str">
        <f t="shared" si="328"/>
        <v>1-0,0033632838996472i</v>
      </c>
      <c r="AZ379">
        <f t="shared" si="354"/>
        <v>1.0000056558233006</v>
      </c>
      <c r="BA379">
        <f t="shared" si="355"/>
        <v>-3.3632712182711088E-3</v>
      </c>
      <c r="BB379" s="58" t="str">
        <f t="shared" si="356"/>
        <v>-0,0176935638762987+0,137470017539333i</v>
      </c>
      <c r="BC379">
        <f t="shared" si="357"/>
        <v>-17.164484924519986</v>
      </c>
      <c r="BD379" s="60">
        <f t="shared" si="358"/>
        <v>97.33413411742076</v>
      </c>
      <c r="BE379" s="58" t="str">
        <f t="shared" si="359"/>
        <v>0,0264301946423081-0,0221945872446043i</v>
      </c>
      <c r="BF379" s="37">
        <f t="shared" si="360"/>
        <v>-29.240317613759359</v>
      </c>
      <c r="BG379" s="60">
        <f t="shared" si="361"/>
        <v>-40.021645573563156</v>
      </c>
      <c r="BH379" s="58" t="str">
        <f t="shared" si="362"/>
        <v>0,0844037475398782+0,163827805255391i</v>
      </c>
      <c r="BI379" s="37">
        <f t="shared" si="363"/>
        <v>-14.689870194568126</v>
      </c>
      <c r="BJ379" s="60">
        <f t="shared" si="364"/>
        <v>62.742569639445769</v>
      </c>
      <c r="BK379">
        <f t="shared" si="365"/>
        <v>-29.240317613759359</v>
      </c>
      <c r="BL379" s="60">
        <f t="shared" si="366"/>
        <v>-40.021645573563156</v>
      </c>
      <c r="BN379">
        <f t="shared" si="367"/>
        <v>0</v>
      </c>
      <c r="BO379">
        <f t="shared" si="368"/>
        <v>0</v>
      </c>
    </row>
    <row r="380" spans="13:67" x14ac:dyDescent="0.25">
      <c r="M380" s="66">
        <v>62</v>
      </c>
      <c r="N380" s="36">
        <f t="shared" si="316"/>
        <v>41686.938347033625</v>
      </c>
      <c r="O380" s="91" t="str">
        <f t="shared" si="317"/>
        <v>13,7404580152672</v>
      </c>
      <c r="P380" s="67" t="str">
        <f t="shared" si="318"/>
        <v>1+282,880899205254i</v>
      </c>
      <c r="Q380" s="67">
        <f t="shared" si="329"/>
        <v>282.88266672805014</v>
      </c>
      <c r="R380" s="67">
        <f t="shared" si="330"/>
        <v>1.5672612848839762</v>
      </c>
      <c r="S380" s="67" t="str">
        <f t="shared" si="319"/>
        <v>1+7,8578027557015i</v>
      </c>
      <c r="T380" s="67">
        <f t="shared" si="331"/>
        <v>7.9211782045040557</v>
      </c>
      <c r="U380" s="67">
        <f t="shared" si="332"/>
        <v>1.4442147175231084</v>
      </c>
      <c r="V380" t="str">
        <f t="shared" si="320"/>
        <v>1-1,63704224077114i</v>
      </c>
      <c r="W380" s="67">
        <f t="shared" si="333"/>
        <v>1.918308447061889</v>
      </c>
      <c r="X380" s="67">
        <f t="shared" si="334"/>
        <v>-1.0224313880458431</v>
      </c>
      <c r="Y380" t="str">
        <f t="shared" si="321"/>
        <v>0,888780746960039+2,84053904536045i</v>
      </c>
      <c r="Z380" s="67">
        <f t="shared" si="335"/>
        <v>2.9763389061704828</v>
      </c>
      <c r="AA380" s="67">
        <f t="shared" si="336"/>
        <v>1.2675547572393537</v>
      </c>
      <c r="AB380" s="92" t="str">
        <f t="shared" si="337"/>
        <v>-0,185028028492063-0,165105597267898i</v>
      </c>
      <c r="AC380" s="37">
        <f t="shared" si="338"/>
        <v>-12.111585728230594</v>
      </c>
      <c r="AD380" s="60">
        <f t="shared" si="339"/>
        <v>-138.25659026162378</v>
      </c>
      <c r="AE380" t="str">
        <f t="shared" si="340"/>
        <v>21,0353732052265</v>
      </c>
      <c r="AF380" t="str">
        <f t="shared" si="322"/>
        <v>1+141,440449602627i</v>
      </c>
      <c r="AG380">
        <f t="shared" si="341"/>
        <v>141.44398461508808</v>
      </c>
      <c r="AH380">
        <f t="shared" si="342"/>
        <v>1.5637263313223009</v>
      </c>
      <c r="AI380" t="str">
        <f t="shared" si="323"/>
        <v>1+7,8578027557015i</v>
      </c>
      <c r="AJ380">
        <f t="shared" si="343"/>
        <v>7.9211782045040557</v>
      </c>
      <c r="AK380">
        <f t="shared" si="344"/>
        <v>1.4442147175231084</v>
      </c>
      <c r="AL380" t="str">
        <f t="shared" si="324"/>
        <v>1-0,53465575696956i</v>
      </c>
      <c r="AM380">
        <f t="shared" si="345"/>
        <v>1.1339562506819623</v>
      </c>
      <c r="AN380">
        <f t="shared" si="346"/>
        <v>-0.4909863294362784</v>
      </c>
      <c r="AO380" s="58" t="str">
        <f t="shared" si="347"/>
        <v>1,09453081030246-0,765799758046052i</v>
      </c>
      <c r="AP380">
        <f t="shared" si="348"/>
        <v>2.515036447376044</v>
      </c>
      <c r="AQ380" s="60">
        <f t="shared" si="349"/>
        <v>-34.978955548809573</v>
      </c>
      <c r="AR380" t="str">
        <f t="shared" si="325"/>
        <v>-1,05811623246493</v>
      </c>
      <c r="AS380" t="str">
        <f t="shared" si="326"/>
        <v>1+7,74465039601939i</v>
      </c>
      <c r="AT380">
        <f t="shared" si="350"/>
        <v>7.8089442152293094</v>
      </c>
      <c r="AU380">
        <f t="shared" si="351"/>
        <v>1.4423854309225712</v>
      </c>
      <c r="AV380" t="str">
        <f t="shared" si="327"/>
        <v>1+7,74465039601939i</v>
      </c>
      <c r="AW380">
        <f t="shared" si="352"/>
        <v>7.8089442152293094</v>
      </c>
      <c r="AX380">
        <f t="shared" si="353"/>
        <v>1.4423854309225712</v>
      </c>
      <c r="AY380" t="str">
        <f t="shared" si="328"/>
        <v>1-0,00328672621137665i</v>
      </c>
      <c r="AZ380">
        <f t="shared" si="354"/>
        <v>1.0000054012700075</v>
      </c>
      <c r="BA380">
        <f t="shared" si="355"/>
        <v>-3.2867143764242577E-3</v>
      </c>
      <c r="BB380" s="58" t="str">
        <f t="shared" si="356"/>
        <v>-0,0169102814669697+0,134441956415892i</v>
      </c>
      <c r="BC380">
        <f t="shared" si="357"/>
        <v>-17.361131954475166</v>
      </c>
      <c r="BD380" s="60">
        <f t="shared" si="358"/>
        <v>97.169087514744035</v>
      </c>
      <c r="BE380" s="58" t="str">
        <f t="shared" si="359"/>
        <v>0,0253259955529898-0,0220835480206761i</v>
      </c>
      <c r="BF380" s="37">
        <f t="shared" si="360"/>
        <v>-29.472717682705763</v>
      </c>
      <c r="BG380" s="60">
        <f t="shared" si="361"/>
        <v>-41.087502746879849</v>
      </c>
      <c r="BH380" s="58" t="str">
        <f t="shared" si="362"/>
        <v>0,0844467936180429+0,16010075295043i</v>
      </c>
      <c r="BI380" s="37">
        <f t="shared" si="363"/>
        <v>-14.84609550709914</v>
      </c>
      <c r="BJ380" s="60">
        <f t="shared" si="364"/>
        <v>62.190131965934441</v>
      </c>
      <c r="BK380">
        <f t="shared" si="365"/>
        <v>-29.472717682705763</v>
      </c>
      <c r="BL380" s="60">
        <f t="shared" si="366"/>
        <v>-41.087502746879849</v>
      </c>
      <c r="BN380">
        <f t="shared" si="367"/>
        <v>0</v>
      </c>
      <c r="BO380">
        <f t="shared" si="368"/>
        <v>0</v>
      </c>
    </row>
    <row r="381" spans="13:67" x14ac:dyDescent="0.25">
      <c r="M381" s="66">
        <v>63</v>
      </c>
      <c r="N381" s="36">
        <f t="shared" si="316"/>
        <v>42657.951880159271</v>
      </c>
      <c r="O381" s="91" t="str">
        <f t="shared" si="317"/>
        <v>13,7404580152672</v>
      </c>
      <c r="P381" s="67" t="str">
        <f t="shared" si="318"/>
        <v>1+289,470041806814i</v>
      </c>
      <c r="Q381" s="67">
        <f t="shared" si="329"/>
        <v>289.47176909612205</v>
      </c>
      <c r="R381" s="67">
        <f t="shared" si="330"/>
        <v>1.5673417516142487</v>
      </c>
      <c r="S381" s="67" t="str">
        <f t="shared" si="319"/>
        <v>1+8,04083449463374i</v>
      </c>
      <c r="T381" s="67">
        <f t="shared" si="331"/>
        <v>8.102778496916466</v>
      </c>
      <c r="U381" s="67">
        <f t="shared" si="332"/>
        <v>1.4470664136366662</v>
      </c>
      <c r="V381" t="str">
        <f t="shared" si="320"/>
        <v>1-1,67517385304869i</v>
      </c>
      <c r="W381" s="67">
        <f t="shared" si="333"/>
        <v>1.9509503935102999</v>
      </c>
      <c r="X381" s="67">
        <f t="shared" si="334"/>
        <v>-1.0326203048671678</v>
      </c>
      <c r="Y381" t="str">
        <f t="shared" si="321"/>
        <v>0,88353914504896+2,90670369941721i</v>
      </c>
      <c r="Z381" s="67">
        <f t="shared" si="335"/>
        <v>3.0380203779829293</v>
      </c>
      <c r="AA381" s="67">
        <f t="shared" si="336"/>
        <v>1.2757049683276125</v>
      </c>
      <c r="AB381" s="92" t="str">
        <f t="shared" si="337"/>
        <v>-0,186827462950698-0,161558044749494i</v>
      </c>
      <c r="AC381" s="37">
        <f t="shared" si="338"/>
        <v>-12.146309895787235</v>
      </c>
      <c r="AD381" s="60">
        <f t="shared" si="339"/>
        <v>-139.14856514306862</v>
      </c>
      <c r="AE381" t="str">
        <f t="shared" si="340"/>
        <v>21,0353732052265</v>
      </c>
      <c r="AF381" t="str">
        <f t="shared" si="322"/>
        <v>1+144,735020903407i</v>
      </c>
      <c r="AG381">
        <f t="shared" si="341"/>
        <v>144.7384754511034</v>
      </c>
      <c r="AH381">
        <f t="shared" si="342"/>
        <v>1.5638872588860528</v>
      </c>
      <c r="AI381" t="str">
        <f t="shared" si="323"/>
        <v>1+8,04083449463374i</v>
      </c>
      <c r="AJ381">
        <f t="shared" si="343"/>
        <v>8.102778496916466</v>
      </c>
      <c r="AK381">
        <f t="shared" si="344"/>
        <v>1.4470664136366662</v>
      </c>
      <c r="AL381" t="str">
        <f t="shared" si="324"/>
        <v>1-0,547109489389513i</v>
      </c>
      <c r="AM381">
        <f t="shared" si="345"/>
        <v>1.1398810435216711</v>
      </c>
      <c r="AN381">
        <f t="shared" si="346"/>
        <v>-0.50062130059831034</v>
      </c>
      <c r="AO381" s="58" t="str">
        <f t="shared" si="347"/>
        <v>1,09448595027103-0,777144708313372i</v>
      </c>
      <c r="AP381">
        <f t="shared" si="348"/>
        <v>2.5571945190317962</v>
      </c>
      <c r="AQ381" s="60">
        <f t="shared" si="349"/>
        <v>-35.376829050574301</v>
      </c>
      <c r="AR381" t="str">
        <f t="shared" si="325"/>
        <v>-1,05811623246493</v>
      </c>
      <c r="AS381" t="str">
        <f t="shared" si="326"/>
        <v>1+7,92504647791101i</v>
      </c>
      <c r="AT381">
        <f t="shared" si="350"/>
        <v>7.9878884366927476</v>
      </c>
      <c r="AU381">
        <f t="shared" si="351"/>
        <v>1.4452774649268259</v>
      </c>
      <c r="AV381" t="str">
        <f t="shared" si="327"/>
        <v>1+7,92504647791101i</v>
      </c>
      <c r="AW381">
        <f t="shared" si="352"/>
        <v>7.9878884366927476</v>
      </c>
      <c r="AX381">
        <f t="shared" si="353"/>
        <v>1.4452774649268259</v>
      </c>
      <c r="AY381" t="str">
        <f t="shared" si="328"/>
        <v>1-0,00321191118884833i</v>
      </c>
      <c r="AZ381">
        <f t="shared" si="354"/>
        <v>1.000005158173439</v>
      </c>
      <c r="BA381">
        <f t="shared" si="355"/>
        <v>-3.2119001438248879E-3</v>
      </c>
      <c r="BB381" s="58" t="str">
        <f t="shared" si="356"/>
        <v>-0,0161611215187084+0,131476214537088i</v>
      </c>
      <c r="BC381">
        <f t="shared" si="357"/>
        <v>-17.5579274714208</v>
      </c>
      <c r="BD381" s="60">
        <f t="shared" si="358"/>
        <v>97.007672711867386</v>
      </c>
      <c r="BE381" s="58" t="str">
        <f t="shared" si="359"/>
        <v>0,0242603814834552-0,0219524084068043i</v>
      </c>
      <c r="BF381" s="37">
        <f t="shared" si="360"/>
        <v>-29.704237367208034</v>
      </c>
      <c r="BG381" s="60">
        <f t="shared" si="361"/>
        <v>-42.140892431201173</v>
      </c>
      <c r="BH381" s="58" t="str">
        <f t="shared" si="362"/>
        <v>0,0844879239537224+0,156458399674336i</v>
      </c>
      <c r="BI381" s="37">
        <f t="shared" si="363"/>
        <v>-15.000732952389011</v>
      </c>
      <c r="BJ381" s="60">
        <f t="shared" si="364"/>
        <v>61.630843661293078</v>
      </c>
      <c r="BK381">
        <f t="shared" si="365"/>
        <v>-29.704237367208034</v>
      </c>
      <c r="BL381" s="60">
        <f t="shared" si="366"/>
        <v>-42.140892431201173</v>
      </c>
      <c r="BN381">
        <f t="shared" si="367"/>
        <v>0</v>
      </c>
      <c r="BO381">
        <f t="shared" si="368"/>
        <v>0</v>
      </c>
    </row>
    <row r="382" spans="13:67" x14ac:dyDescent="0.25">
      <c r="M382" s="66">
        <v>64</v>
      </c>
      <c r="N382" s="36">
        <f t="shared" si="316"/>
        <v>43651.583224016598</v>
      </c>
      <c r="O382" s="91" t="str">
        <f t="shared" si="317"/>
        <v>13,7404580152672</v>
      </c>
      <c r="P382" s="67" t="str">
        <f t="shared" si="318"/>
        <v>1+296,212665256129i</v>
      </c>
      <c r="Q382" s="67">
        <f t="shared" si="329"/>
        <v>296.21435322775892</v>
      </c>
      <c r="R382" s="67">
        <f t="shared" si="330"/>
        <v>1.5674203867413474</v>
      </c>
      <c r="S382" s="67" t="str">
        <f t="shared" si="319"/>
        <v>1+8,22812959044805i</v>
      </c>
      <c r="T382" s="67">
        <f t="shared" si="331"/>
        <v>8.2886739926967081</v>
      </c>
      <c r="U382" s="67">
        <f t="shared" si="332"/>
        <v>1.4498551531064825</v>
      </c>
      <c r="V382" t="str">
        <f t="shared" si="320"/>
        <v>1-1,71419366467667i</v>
      </c>
      <c r="W382" s="67">
        <f t="shared" si="333"/>
        <v>1.9845553456675455</v>
      </c>
      <c r="X382" s="67">
        <f t="shared" si="334"/>
        <v>-1.0426985073242303</v>
      </c>
      <c r="Y382" t="str">
        <f t="shared" si="321"/>
        <v>0,878050514050352+2,97440952625017i</v>
      </c>
      <c r="Z382" s="67">
        <f t="shared" si="335"/>
        <v>3.1013037153867806</v>
      </c>
      <c r="AA382" s="67">
        <f t="shared" si="336"/>
        <v>1.283747507669216</v>
      </c>
      <c r="AB382" s="92" t="str">
        <f t="shared" si="337"/>
        <v>-0,188561696200042-0,158045307101539i</v>
      </c>
      <c r="AC382" s="37">
        <f t="shared" si="338"/>
        <v>-12.180018302218903</v>
      </c>
      <c r="AD382" s="60">
        <f t="shared" si="339"/>
        <v>-140.03152962890073</v>
      </c>
      <c r="AE382" t="str">
        <f t="shared" si="340"/>
        <v>21,0353732052265</v>
      </c>
      <c r="AF382" t="str">
        <f t="shared" si="322"/>
        <v>1+148,106332628065i</v>
      </c>
      <c r="AG382">
        <f t="shared" si="341"/>
        <v>148.1097085424687</v>
      </c>
      <c r="AH382">
        <f t="shared" si="342"/>
        <v>1.564044523637028</v>
      </c>
      <c r="AI382" t="str">
        <f t="shared" si="323"/>
        <v>1+8,22812959044805i</v>
      </c>
      <c r="AJ382">
        <f t="shared" si="343"/>
        <v>8.2886739926967081</v>
      </c>
      <c r="AK382">
        <f t="shared" si="344"/>
        <v>1.4498551531064825</v>
      </c>
      <c r="AL382" t="str">
        <f t="shared" si="324"/>
        <v>1-0,559853306502589i</v>
      </c>
      <c r="AM382">
        <f t="shared" si="345"/>
        <v>1.1460522347615234</v>
      </c>
      <c r="AN382">
        <f t="shared" si="346"/>
        <v>-0.51037664205142963</v>
      </c>
      <c r="AO382" s="58" t="str">
        <f t="shared" si="347"/>
        <v>1,0944431090852-0,788901683085901i</v>
      </c>
      <c r="AP382">
        <f t="shared" si="348"/>
        <v>2.6011233014574846</v>
      </c>
      <c r="AQ382" s="60">
        <f t="shared" si="349"/>
        <v>-35.784996548261908</v>
      </c>
      <c r="AR382" t="str">
        <f t="shared" si="325"/>
        <v>-1,05811623246493</v>
      </c>
      <c r="AS382" t="str">
        <f t="shared" si="326"/>
        <v>1+8,10964452434559i</v>
      </c>
      <c r="AT382">
        <f t="shared" si="350"/>
        <v>8.1710669016505069</v>
      </c>
      <c r="AU382">
        <f t="shared" si="351"/>
        <v>1.4481057092406309</v>
      </c>
      <c r="AV382" t="str">
        <f t="shared" si="327"/>
        <v>1+8,10964452434559i</v>
      </c>
      <c r="AW382">
        <f t="shared" si="352"/>
        <v>8.1710669016505069</v>
      </c>
      <c r="AX382">
        <f t="shared" si="353"/>
        <v>1.4481057092406309</v>
      </c>
      <c r="AY382" t="str">
        <f t="shared" si="328"/>
        <v>1-0,00313879916414703i</v>
      </c>
      <c r="AZ382">
        <f t="shared" si="354"/>
        <v>1.0000049260179635</v>
      </c>
      <c r="BA382">
        <f t="shared" si="355"/>
        <v>-3.1387888563285289E-3</v>
      </c>
      <c r="BB382" s="58" t="str">
        <f t="shared" si="356"/>
        <v>-0,0154446454993671+0,128571799150432i</v>
      </c>
      <c r="BC382">
        <f t="shared" si="357"/>
        <v>-17.754865002143148</v>
      </c>
      <c r="BD382" s="60">
        <f t="shared" si="358"/>
        <v>96.849815217462819</v>
      </c>
      <c r="BE382" s="58" t="str">
        <f t="shared" si="359"/>
        <v>0,0232324380338964-0,0218027627902747i</v>
      </c>
      <c r="BF382" s="37">
        <f t="shared" si="360"/>
        <v>-29.934883304362057</v>
      </c>
      <c r="BG382" s="60">
        <f t="shared" si="361"/>
        <v>-43.181714411437937</v>
      </c>
      <c r="BH382" s="58" t="str">
        <f t="shared" si="362"/>
        <v>0,0845272229081121+0,152898826431992i</v>
      </c>
      <c r="BI382" s="37">
        <f t="shared" si="363"/>
        <v>-15.153741700685686</v>
      </c>
      <c r="BJ382" s="60">
        <f t="shared" si="364"/>
        <v>61.064818669200868</v>
      </c>
      <c r="BK382">
        <f t="shared" si="365"/>
        <v>-29.934883304362057</v>
      </c>
      <c r="BL382" s="60">
        <f t="shared" si="366"/>
        <v>-43.181714411437937</v>
      </c>
      <c r="BN382">
        <f t="shared" si="367"/>
        <v>0</v>
      </c>
      <c r="BO382">
        <f t="shared" si="368"/>
        <v>0</v>
      </c>
    </row>
    <row r="383" spans="13:67" x14ac:dyDescent="0.25">
      <c r="M383" s="66">
        <v>65</v>
      </c>
      <c r="N383" s="36">
        <f t="shared" si="316"/>
        <v>44668.359215096389</v>
      </c>
      <c r="O383" s="91" t="str">
        <f t="shared" si="317"/>
        <v>13,7404580152672</v>
      </c>
      <c r="P383" s="67" t="str">
        <f t="shared" si="318"/>
        <v>1+303,112344581403i</v>
      </c>
      <c r="Q383" s="67">
        <f t="shared" si="329"/>
        <v>303.11399413031921</v>
      </c>
      <c r="R383" s="67">
        <f t="shared" si="330"/>
        <v>1.5674972319547658</v>
      </c>
      <c r="S383" s="67" t="str">
        <f t="shared" si="319"/>
        <v>1+8,41978734948343i</v>
      </c>
      <c r="T383" s="67">
        <f t="shared" si="331"/>
        <v>8.4789633216874556</v>
      </c>
      <c r="U383" s="67">
        <f t="shared" si="332"/>
        <v>1.4525822409604836</v>
      </c>
      <c r="V383" t="str">
        <f t="shared" si="320"/>
        <v>1-1,75412236447571i</v>
      </c>
      <c r="W383" s="67">
        <f t="shared" si="333"/>
        <v>2.0191446876224242</v>
      </c>
      <c r="X383" s="67">
        <f t="shared" si="334"/>
        <v>-1.0526631493115441</v>
      </c>
      <c r="Y383" t="str">
        <f t="shared" si="321"/>
        <v>0,872303211841991+3,04369242438493i</v>
      </c>
      <c r="Z383" s="67">
        <f t="shared" si="335"/>
        <v>3.1662243236460785</v>
      </c>
      <c r="AA383" s="67">
        <f t="shared" si="336"/>
        <v>1.2916837714152016</v>
      </c>
      <c r="AB383" s="92" t="str">
        <f t="shared" si="337"/>
        <v>-0,190232296156141-0,154568221148785i</v>
      </c>
      <c r="AC383" s="37">
        <f t="shared" si="338"/>
        <v>-12.212725229657122</v>
      </c>
      <c r="AD383" s="60">
        <f t="shared" si="339"/>
        <v>-140.90532825888945</v>
      </c>
      <c r="AE383" t="str">
        <f t="shared" si="340"/>
        <v>21,0353732052265</v>
      </c>
      <c r="AF383" t="str">
        <f t="shared" si="322"/>
        <v>1+151,556172290702i</v>
      </c>
      <c r="AG383">
        <f t="shared" si="341"/>
        <v>151.5594713616043</v>
      </c>
      <c r="AH383">
        <f t="shared" si="342"/>
        <v>1.5641982089279449</v>
      </c>
      <c r="AI383" t="str">
        <f t="shared" si="323"/>
        <v>1+8,41978734948343i</v>
      </c>
      <c r="AJ383">
        <f t="shared" si="343"/>
        <v>8.4789633216874556</v>
      </c>
      <c r="AK383">
        <f t="shared" si="344"/>
        <v>1.4525822409604836</v>
      </c>
      <c r="AL383" t="str">
        <f t="shared" si="324"/>
        <v>1-0,572893965249311i</v>
      </c>
      <c r="AM383">
        <f t="shared" si="345"/>
        <v>1.152478848143895</v>
      </c>
      <c r="AN383">
        <f t="shared" si="346"/>
        <v>-0.52025009840715553</v>
      </c>
      <c r="AO383" s="58" t="str">
        <f t="shared" si="347"/>
        <v>1,09440219589851-0,801076917929729i</v>
      </c>
      <c r="AP383">
        <f t="shared" si="348"/>
        <v>2.6468571952946665</v>
      </c>
      <c r="AQ383" s="60">
        <f t="shared" si="349"/>
        <v>-36.20325882079878</v>
      </c>
      <c r="AR383" t="str">
        <f t="shared" si="325"/>
        <v>-1,05811623246493</v>
      </c>
      <c r="AS383" t="str">
        <f t="shared" si="326"/>
        <v>1+8,29854241165086i</v>
      </c>
      <c r="AT383">
        <f t="shared" si="350"/>
        <v>8.3585768021815809</v>
      </c>
      <c r="AU383">
        <f t="shared" si="351"/>
        <v>1.4508714823555895</v>
      </c>
      <c r="AV383" t="str">
        <f t="shared" si="327"/>
        <v>1+8,29854241165086i</v>
      </c>
      <c r="AW383">
        <f t="shared" si="352"/>
        <v>8.3585768021815809</v>
      </c>
      <c r="AX383">
        <f t="shared" si="353"/>
        <v>1.4508714823555895</v>
      </c>
      <c r="AY383" t="str">
        <f t="shared" si="328"/>
        <v>1-0,00306735137230945i</v>
      </c>
      <c r="AZ383">
        <f t="shared" si="354"/>
        <v>1.0000047043111553</v>
      </c>
      <c r="BA383">
        <f t="shared" si="355"/>
        <v>-3.0673417524909427E-3</v>
      </c>
      <c r="BB383" s="58" t="str">
        <f t="shared" si="356"/>
        <v>-0,014759471355672+0,125727713296304i</v>
      </c>
      <c r="BC383">
        <f t="shared" si="357"/>
        <v>-17.951938346726088</v>
      </c>
      <c r="BD383" s="60">
        <f t="shared" si="358"/>
        <v>96.695441708393275</v>
      </c>
      <c r="BE383" s="58" t="str">
        <f t="shared" si="359"/>
        <v>0,0222412371193544-0,0216361263582742i</v>
      </c>
      <c r="BF383" s="37">
        <f t="shared" si="360"/>
        <v>-30.164663576383219</v>
      </c>
      <c r="BG383" s="60">
        <f t="shared" si="361"/>
        <v>-44.209886550496194</v>
      </c>
      <c r="BH383" s="58" t="str">
        <f t="shared" si="362"/>
        <v>0,0845647712038072+0,149420157340647i</v>
      </c>
      <c r="BI383" s="37">
        <f t="shared" si="363"/>
        <v>-15.30508115143143</v>
      </c>
      <c r="BJ383" s="60">
        <f t="shared" si="364"/>
        <v>60.49218288759446</v>
      </c>
      <c r="BK383">
        <f t="shared" si="365"/>
        <v>-30.164663576383219</v>
      </c>
      <c r="BL383" s="60">
        <f t="shared" si="366"/>
        <v>-44.209886550496194</v>
      </c>
      <c r="BN383">
        <f t="shared" si="367"/>
        <v>0</v>
      </c>
      <c r="BO383">
        <f t="shared" si="368"/>
        <v>0</v>
      </c>
    </row>
    <row r="384" spans="13:67" x14ac:dyDescent="0.25">
      <c r="M384" s="66">
        <v>66</v>
      </c>
      <c r="N384" s="36">
        <f t="shared" ref="N384:N418" si="369">10^(4+(M384/100))</f>
        <v>45708.818961487581</v>
      </c>
      <c r="O384" s="91" t="str">
        <f t="shared" si="317"/>
        <v>13,7404580152672</v>
      </c>
      <c r="P384" s="67" t="str">
        <f t="shared" si="318"/>
        <v>1+310,172738083938i</v>
      </c>
      <c r="Q384" s="67">
        <f t="shared" si="329"/>
        <v>310.1743500847341</v>
      </c>
      <c r="R384" s="67">
        <f t="shared" si="330"/>
        <v>1.5675723279952205</v>
      </c>
      <c r="S384" s="67" t="str">
        <f t="shared" si="319"/>
        <v>1+8,61590939122051i</v>
      </c>
      <c r="T384" s="67">
        <f t="shared" si="331"/>
        <v>8.6737474391246714</v>
      </c>
      <c r="U384" s="67">
        <f t="shared" si="332"/>
        <v>1.4552489607985735</v>
      </c>
      <c r="V384" t="str">
        <f t="shared" si="320"/>
        <v>1-1,79498112317094i</v>
      </c>
      <c r="W384" s="67">
        <f t="shared" si="333"/>
        <v>2.0547401861403327</v>
      </c>
      <c r="X384" s="67">
        <f t="shared" si="334"/>
        <v>-1.0625115981574955</v>
      </c>
      <c r="Y384" t="str">
        <f t="shared" si="321"/>
        <v>0,866285047625341+3,11458912853111i</v>
      </c>
      <c r="Z384" s="67">
        <f t="shared" si="335"/>
        <v>3.2328184643285214</v>
      </c>
      <c r="AA384" s="67">
        <f t="shared" si="336"/>
        <v>1.2995152511365426</v>
      </c>
      <c r="AB384" s="92" t="str">
        <f t="shared" si="337"/>
        <v>-0,191840844212106-0,151127527431012i</v>
      </c>
      <c r="AC384" s="37">
        <f t="shared" si="338"/>
        <v>-12.244446045441176</v>
      </c>
      <c r="AD384" s="60">
        <f t="shared" si="339"/>
        <v>-141.76982444219777</v>
      </c>
      <c r="AE384" t="str">
        <f t="shared" si="340"/>
        <v>21,0353732052265</v>
      </c>
      <c r="AF384" t="str">
        <f t="shared" si="322"/>
        <v>1+155,086369041969i</v>
      </c>
      <c r="AG384">
        <f t="shared" si="341"/>
        <v>155.08959301842853</v>
      </c>
      <c r="AH384">
        <f t="shared" si="342"/>
        <v>1.5643483962157234</v>
      </c>
      <c r="AI384" t="str">
        <f t="shared" si="323"/>
        <v>1+8,61590939122051i</v>
      </c>
      <c r="AJ384">
        <f t="shared" si="343"/>
        <v>8.6737474391246714</v>
      </c>
      <c r="AK384">
        <f t="shared" si="344"/>
        <v>1.4552489607985735</v>
      </c>
      <c r="AL384" t="str">
        <f t="shared" si="324"/>
        <v>1-0,586238379959552i</v>
      </c>
      <c r="AM384">
        <f t="shared" si="345"/>
        <v>1.1591701506412249</v>
      </c>
      <c r="AN384">
        <f t="shared" si="346"/>
        <v>-0.53023920391140533</v>
      </c>
      <c r="AO384" s="58" t="str">
        <f t="shared" si="347"/>
        <v>1,09436312395184-0,81367687005366i</v>
      </c>
      <c r="AP384">
        <f t="shared" si="348"/>
        <v>2.6944305359032175</v>
      </c>
      <c r="AQ384" s="60">
        <f t="shared" si="349"/>
        <v>-36.631405713162941</v>
      </c>
      <c r="AR384" t="str">
        <f t="shared" si="325"/>
        <v>-1,05811623246493</v>
      </c>
      <c r="AS384" t="str">
        <f t="shared" si="326"/>
        <v>1+8,49184029598693i</v>
      </c>
      <c r="AT384">
        <f t="shared" si="350"/>
        <v>8.5505176224920678</v>
      </c>
      <c r="AU384">
        <f t="shared" si="351"/>
        <v>1.4535760813761851</v>
      </c>
      <c r="AV384" t="str">
        <f t="shared" si="327"/>
        <v>1+8,49184029598693i</v>
      </c>
      <c r="AW384">
        <f t="shared" si="352"/>
        <v>8.5505176224920678</v>
      </c>
      <c r="AX384">
        <f t="shared" si="353"/>
        <v>1.4535760813761851</v>
      </c>
      <c r="AY384" t="str">
        <f t="shared" si="328"/>
        <v>1-0,00299752993077069i</v>
      </c>
      <c r="AZ384">
        <f t="shared" si="354"/>
        <v>1.0000044925827514</v>
      </c>
      <c r="BA384">
        <f t="shared" si="355"/>
        <v>-2.9975209530314147E-3</v>
      </c>
      <c r="BB384" s="58" t="str">
        <f t="shared" si="356"/>
        <v>-0,014104271662138+0,122942957523138i</v>
      </c>
      <c r="BC384">
        <f t="shared" si="357"/>
        <v>-18.149141567785744</v>
      </c>
      <c r="BD384" s="60">
        <f t="shared" si="358"/>
        <v>96.544480036369166</v>
      </c>
      <c r="BE384" s="58" t="str">
        <f t="shared" si="359"/>
        <v>0,0212858405681892-0,0214539370586577i</v>
      </c>
      <c r="BF384" s="37">
        <f t="shared" si="360"/>
        <v>-30.393587613226916</v>
      </c>
      <c r="BG384" s="60">
        <f t="shared" si="361"/>
        <v>-45.225344405828665</v>
      </c>
      <c r="BH384" s="58" t="str">
        <f t="shared" si="362"/>
        <v>0,0846006460753242+0,146020558683335i</v>
      </c>
      <c r="BI384" s="37">
        <f t="shared" si="363"/>
        <v>-15.454711031882514</v>
      </c>
      <c r="BJ384" s="60">
        <f t="shared" si="364"/>
        <v>59.913074323206295</v>
      </c>
      <c r="BK384">
        <f t="shared" si="365"/>
        <v>-30.393587613226916</v>
      </c>
      <c r="BL384" s="60">
        <f t="shared" si="366"/>
        <v>-45.225344405828665</v>
      </c>
      <c r="BN384">
        <f t="shared" si="367"/>
        <v>0</v>
      </c>
      <c r="BO384">
        <f t="shared" si="368"/>
        <v>0</v>
      </c>
    </row>
    <row r="385" spans="13:67" x14ac:dyDescent="0.25">
      <c r="M385" s="66">
        <v>67</v>
      </c>
      <c r="N385" s="36">
        <f t="shared" si="369"/>
        <v>46773.514128719893</v>
      </c>
      <c r="O385" s="91" t="str">
        <f t="shared" si="317"/>
        <v>13,7404580152672</v>
      </c>
      <c r="P385" s="67" t="str">
        <f t="shared" si="318"/>
        <v>1+317,397589277828i</v>
      </c>
      <c r="Q385" s="67">
        <f t="shared" si="329"/>
        <v>317.39916458519036</v>
      </c>
      <c r="R385" s="67">
        <f t="shared" si="330"/>
        <v>1.5676457146762366</v>
      </c>
      <c r="S385" s="67" t="str">
        <f t="shared" si="319"/>
        <v>1+8,81659970216191i</v>
      </c>
      <c r="T385" s="67">
        <f t="shared" si="331"/>
        <v>8.8731296794401402</v>
      </c>
      <c r="U385" s="67">
        <f t="shared" si="332"/>
        <v>1.4578565747563716</v>
      </c>
      <c r="V385" t="str">
        <f t="shared" si="320"/>
        <v>1-1,83679160461706i</v>
      </c>
      <c r="W385" s="67">
        <f t="shared" si="333"/>
        <v>2.0913640043741104</v>
      </c>
      <c r="X385" s="67">
        <f t="shared" si="334"/>
        <v>-1.0722414331955168</v>
      </c>
      <c r="Y385" t="str">
        <f t="shared" si="321"/>
        <v>0,859983256067228+3,18713722905971i</v>
      </c>
      <c r="Z385" s="67">
        <f t="shared" si="335"/>
        <v>3.3011232811839064</v>
      </c>
      <c r="AA385" s="67">
        <f t="shared" si="336"/>
        <v>1.3072435279751713</v>
      </c>
      <c r="AB385" s="92" t="str">
        <f t="shared" si="337"/>
        <v>-0,193388929580089-0,147723872895971i</v>
      </c>
      <c r="AC385" s="37">
        <f t="shared" si="338"/>
        <v>-12.275197115245593</v>
      </c>
      <c r="AD385" s="60">
        <f t="shared" si="339"/>
        <v>-142.62490004371051</v>
      </c>
      <c r="AE385" t="str">
        <f t="shared" si="340"/>
        <v>21,0353732052265</v>
      </c>
      <c r="AF385" t="str">
        <f t="shared" si="322"/>
        <v>1+158,698794638914i</v>
      </c>
      <c r="AG385">
        <f t="shared" si="341"/>
        <v>158.70194523018361</v>
      </c>
      <c r="AH385">
        <f t="shared" si="342"/>
        <v>1.5644951651045342</v>
      </c>
      <c r="AI385" t="str">
        <f t="shared" si="323"/>
        <v>1+8,81659970216191i</v>
      </c>
      <c r="AJ385">
        <f t="shared" si="343"/>
        <v>8.8731296794401402</v>
      </c>
      <c r="AK385">
        <f t="shared" si="344"/>
        <v>1.4578565747563716</v>
      </c>
      <c r="AL385" t="str">
        <f t="shared" si="324"/>
        <v>1-0,599893626018633i</v>
      </c>
      <c r="AM385">
        <f t="shared" si="345"/>
        <v>1.1661356535745675</v>
      </c>
      <c r="AN385">
        <f t="shared" si="346"/>
        <v>-0.54034128043714069</v>
      </c>
      <c r="AO385" s="58" t="str">
        <f t="shared" si="347"/>
        <v>1,09432581038951-0,826708221741232i</v>
      </c>
      <c r="AP385">
        <f t="shared" si="348"/>
        <v>2.7438774806573685</v>
      </c>
      <c r="AQ385" s="60">
        <f t="shared" si="349"/>
        <v>-37.069216025917221</v>
      </c>
      <c r="AR385" t="str">
        <f t="shared" si="325"/>
        <v>-1,05811623246493</v>
      </c>
      <c r="AS385" t="str">
        <f t="shared" si="326"/>
        <v>1+8,68964066645077i</v>
      </c>
      <c r="AT385">
        <f t="shared" si="350"/>
        <v>8.7469911919490908</v>
      </c>
      <c r="AU385">
        <f t="shared" si="351"/>
        <v>1.4562207819614708</v>
      </c>
      <c r="AV385" t="str">
        <f t="shared" si="327"/>
        <v>1+8,68964066645077i</v>
      </c>
      <c r="AW385">
        <f t="shared" si="352"/>
        <v>8.7469911919490908</v>
      </c>
      <c r="AX385">
        <f t="shared" si="353"/>
        <v>1.4562207819614708</v>
      </c>
      <c r="AY385" t="str">
        <f t="shared" si="328"/>
        <v>1-0,0029292978192782i</v>
      </c>
      <c r="AZ385">
        <f t="shared" si="354"/>
        <v>1.0000042903836532</v>
      </c>
      <c r="BA385">
        <f t="shared" si="355"/>
        <v>-2.9292894407623765E-3</v>
      </c>
      <c r="BB385" s="58" t="str">
        <f t="shared" si="356"/>
        <v>-0,0134777717970454+0,120216531473051i</v>
      </c>
      <c r="BC385">
        <f t="shared" si="357"/>
        <v>-18.346468980061637</v>
      </c>
      <c r="BD385" s="60">
        <f t="shared" si="358"/>
        <v>96.39685923243934</v>
      </c>
      <c r="BE385" s="58" t="str">
        <f t="shared" si="359"/>
        <v>0,0203653034762748-0,0212575576915368i</v>
      </c>
      <c r="BF385" s="37">
        <f t="shared" si="360"/>
        <v>-30.621666095307226</v>
      </c>
      <c r="BG385" s="60">
        <f t="shared" si="361"/>
        <v>-46.228040811271221</v>
      </c>
      <c r="BH385" s="58" t="str">
        <f t="shared" si="362"/>
        <v>0,0846349214139383+0,142698237981832i</v>
      </c>
      <c r="BI385" s="37">
        <f t="shared" si="363"/>
        <v>-15.602591499404273</v>
      </c>
      <c r="BJ385" s="60">
        <f t="shared" si="364"/>
        <v>59.327643206522097</v>
      </c>
      <c r="BK385">
        <f t="shared" si="365"/>
        <v>-30.621666095307226</v>
      </c>
      <c r="BL385" s="60">
        <f t="shared" si="366"/>
        <v>-46.228040811271221</v>
      </c>
      <c r="BN385">
        <f t="shared" si="367"/>
        <v>0</v>
      </c>
      <c r="BO385">
        <f t="shared" si="368"/>
        <v>0</v>
      </c>
    </row>
    <row r="386" spans="13:67" x14ac:dyDescent="0.25">
      <c r="M386" s="66">
        <v>68</v>
      </c>
      <c r="N386" s="36">
        <f t="shared" si="369"/>
        <v>47863.009232263823</v>
      </c>
      <c r="O386" s="91" t="str">
        <f t="shared" si="317"/>
        <v>13,7404580152672</v>
      </c>
      <c r="P386" s="67" t="str">
        <f t="shared" si="318"/>
        <v>1+324,790728874806i</v>
      </c>
      <c r="Q386" s="67">
        <f t="shared" si="329"/>
        <v>324.79226832396694</v>
      </c>
      <c r="R386" s="67">
        <f t="shared" si="330"/>
        <v>1.5677174309052395</v>
      </c>
      <c r="S386" s="67" t="str">
        <f t="shared" si="319"/>
        <v>1+9,02196469096684i</v>
      </c>
      <c r="T386" s="67">
        <f t="shared" si="331"/>
        <v>9.0772158113075836</v>
      </c>
      <c r="U386" s="67">
        <f t="shared" si="332"/>
        <v>1.4604063235017388</v>
      </c>
      <c r="V386" t="str">
        <f t="shared" si="320"/>
        <v>1-1,87957597728476i</v>
      </c>
      <c r="W386" s="67">
        <f t="shared" si="333"/>
        <v>2.1290387160373481</v>
      </c>
      <c r="X386" s="67">
        <f t="shared" si="334"/>
        <v>-1.0818504436051772</v>
      </c>
      <c r="Y386" t="str">
        <f t="shared" si="321"/>
        <v>0,853384470222862+3,26137519193389i</v>
      </c>
      <c r="Z386" s="67">
        <f t="shared" si="335"/>
        <v>3.3711768266555477</v>
      </c>
      <c r="AA386" s="67">
        <f t="shared" si="336"/>
        <v>1.3148702669787962</v>
      </c>
      <c r="AB386" s="92" t="str">
        <f t="shared" si="337"/>
        <v>-0,194878144033923-0,144357813791056i</v>
      </c>
      <c r="AC386" s="37">
        <f t="shared" si="338"/>
        <v>-12.304995716591673</v>
      </c>
      <c r="AD386" s="60">
        <f t="shared" si="339"/>
        <v>-143.47045493715305</v>
      </c>
      <c r="AE386" t="str">
        <f t="shared" si="340"/>
        <v>21,0353732052265</v>
      </c>
      <c r="AF386" t="str">
        <f t="shared" si="322"/>
        <v>1+162,395364437403i</v>
      </c>
      <c r="AG386">
        <f t="shared" si="341"/>
        <v>162.39844331383514</v>
      </c>
      <c r="AH386">
        <f t="shared" si="342"/>
        <v>1.5646385933878781</v>
      </c>
      <c r="AI386" t="str">
        <f t="shared" si="323"/>
        <v>1+9,02196469096684i</v>
      </c>
      <c r="AJ386">
        <f t="shared" si="343"/>
        <v>9.0772158113075836</v>
      </c>
      <c r="AK386">
        <f t="shared" si="344"/>
        <v>1.4604063235017388</v>
      </c>
      <c r="AL386" t="str">
        <f t="shared" si="324"/>
        <v>1-0,613866943618757i</v>
      </c>
      <c r="AM386">
        <f t="shared" si="345"/>
        <v>1.173385113450752</v>
      </c>
      <c r="AN386">
        <f t="shared" si="346"/>
        <v>-0.55055343621779218</v>
      </c>
      <c r="AO386" s="58" t="str">
        <f t="shared" si="347"/>
        <v>1,09429017608376-0,840177883901476i</v>
      </c>
      <c r="AP386">
        <f t="shared" si="348"/>
        <v>2.7952318933035429</v>
      </c>
      <c r="AQ386" s="60">
        <f t="shared" si="349"/>
        <v>-37.516457445248918</v>
      </c>
      <c r="AR386" t="str">
        <f t="shared" si="325"/>
        <v>-1,05811623246493</v>
      </c>
      <c r="AS386" t="str">
        <f t="shared" si="326"/>
        <v>1+8,89204839941691i</v>
      </c>
      <c r="AT386">
        <f t="shared" si="350"/>
        <v>8.9481017393396254</v>
      </c>
      <c r="AU386">
        <f t="shared" si="351"/>
        <v>1.4588068383012429</v>
      </c>
      <c r="AV386" t="str">
        <f t="shared" si="327"/>
        <v>1+8,89204839941691i</v>
      </c>
      <c r="AW386">
        <f t="shared" si="352"/>
        <v>8.9481017393396254</v>
      </c>
      <c r="AX386">
        <f t="shared" si="353"/>
        <v>1.4588068383012429</v>
      </c>
      <c r="AY386" t="str">
        <f t="shared" si="328"/>
        <v>1-0,00286261886026336i</v>
      </c>
      <c r="AZ386">
        <f t="shared" si="354"/>
        <v>1.0000040972849757</v>
      </c>
      <c r="BA386">
        <f t="shared" si="355"/>
        <v>-2.8626110409756215E-3</v>
      </c>
      <c r="BB386" s="58" t="str">
        <f t="shared" si="356"/>
        <v>-0,0128787481486538+0,117547435345136i</v>
      </c>
      <c r="BC386">
        <f t="shared" si="357"/>
        <v>-18.543915140357548</v>
      </c>
      <c r="BD386" s="60">
        <f t="shared" si="358"/>
        <v>96.252509509479765</v>
      </c>
      <c r="BE386" s="58" t="str">
        <f t="shared" si="359"/>
        <v>0,0194786773198593-0,0210482781089024i</v>
      </c>
      <c r="BF386" s="37">
        <f t="shared" si="360"/>
        <v>-30.848910856949225</v>
      </c>
      <c r="BG386" s="60">
        <f t="shared" si="361"/>
        <v>-47.217945427673307</v>
      </c>
      <c r="BH386" s="58" t="str">
        <f t="shared" si="362"/>
        <v>0,0846676679069931+0,139451443088859i</v>
      </c>
      <c r="BI386" s="37">
        <f t="shared" si="363"/>
        <v>-15.748683247054021</v>
      </c>
      <c r="BJ386" s="60">
        <f t="shared" si="364"/>
        <v>58.736052064230826</v>
      </c>
      <c r="BK386">
        <f t="shared" si="365"/>
        <v>-30.848910856949225</v>
      </c>
      <c r="BL386" s="60">
        <f t="shared" si="366"/>
        <v>-47.217945427673307</v>
      </c>
      <c r="BN386">
        <f t="shared" si="367"/>
        <v>0</v>
      </c>
      <c r="BO386">
        <f t="shared" si="368"/>
        <v>0</v>
      </c>
    </row>
    <row r="387" spans="13:67" x14ac:dyDescent="0.25">
      <c r="M387" s="66">
        <v>69</v>
      </c>
      <c r="N387" s="36">
        <f t="shared" si="369"/>
        <v>48977.881936844598</v>
      </c>
      <c r="O387" s="91" t="str">
        <f t="shared" si="317"/>
        <v>13,7404580152672</v>
      </c>
      <c r="P387" s="67" t="str">
        <f t="shared" si="318"/>
        <v>1+332,356076815347i</v>
      </c>
      <c r="Q387" s="67">
        <f t="shared" si="329"/>
        <v>332.35758122252736</v>
      </c>
      <c r="R387" s="67">
        <f t="shared" si="330"/>
        <v>1.5677875147041711</v>
      </c>
      <c r="S387" s="67" t="str">
        <f t="shared" si="319"/>
        <v>1+9,23211324487075i</v>
      </c>
      <c r="T387" s="67">
        <f t="shared" si="331"/>
        <v>9.2861140939640574</v>
      </c>
      <c r="U387" s="67">
        <f t="shared" si="332"/>
        <v>1.4628994262615462</v>
      </c>
      <c r="V387" t="str">
        <f t="shared" si="320"/>
        <v>1-1,92335692601474i</v>
      </c>
      <c r="W387" s="67">
        <f t="shared" si="333"/>
        <v>2.1677873200221627</v>
      </c>
      <c r="X387" s="67">
        <f t="shared" si="334"/>
        <v>-1.0913366255751189</v>
      </c>
      <c r="Y387" t="str">
        <f t="shared" si="321"/>
        <v>0,846474693182753+3,33734237910425i</v>
      </c>
      <c r="Z387" s="67">
        <f t="shared" si="335"/>
        <v>3.4430180890555961</v>
      </c>
      <c r="AA387" s="67">
        <f t="shared" si="336"/>
        <v>1.3223972116295364</v>
      </c>
      <c r="AB387" s="92" t="str">
        <f t="shared" si="337"/>
        <v>-0,196310077044835-0,14102981871769i</v>
      </c>
      <c r="AC387" s="37">
        <f t="shared" si="338"/>
        <v>-12.333859953326773</v>
      </c>
      <c r="AD387" s="60">
        <f t="shared" si="339"/>
        <v>-144.3064065287013</v>
      </c>
      <c r="AE387" t="str">
        <f t="shared" si="340"/>
        <v>21,0353732052265</v>
      </c>
      <c r="AF387" t="str">
        <f t="shared" si="322"/>
        <v>1+166,178038407673i</v>
      </c>
      <c r="AG387">
        <f t="shared" si="341"/>
        <v>166.18104720160491</v>
      </c>
      <c r="AH387">
        <f t="shared" si="342"/>
        <v>1.5647787570897114</v>
      </c>
      <c r="AI387" t="str">
        <f t="shared" si="323"/>
        <v>1+9,23211324487075i</v>
      </c>
      <c r="AJ387">
        <f t="shared" si="343"/>
        <v>9.2861140939640574</v>
      </c>
      <c r="AK387">
        <f t="shared" si="344"/>
        <v>1.4628994262615462</v>
      </c>
      <c r="AL387" t="str">
        <f t="shared" si="324"/>
        <v>1-0,628165741597877i</v>
      </c>
      <c r="AM387">
        <f t="shared" si="345"/>
        <v>1.1809285325188865</v>
      </c>
      <c r="AN387">
        <f t="shared" si="346"/>
        <v>-0.56087256537024321</v>
      </c>
      <c r="AO387" s="58" t="str">
        <f t="shared" si="347"/>
        <v>1,09425614546709-0,854092999740424i</v>
      </c>
      <c r="AP387">
        <f t="shared" si="348"/>
        <v>2.8485272258118939</v>
      </c>
      <c r="AQ387" s="60">
        <f t="shared" si="349"/>
        <v>-37.972886516461266</v>
      </c>
      <c r="AR387" t="str">
        <f t="shared" si="325"/>
        <v>-1,05811623246493</v>
      </c>
      <c r="AS387" t="str">
        <f t="shared" si="326"/>
        <v>1+9,09917081414461i</v>
      </c>
      <c r="AT387">
        <f t="shared" si="350"/>
        <v>9.1539559483854358</v>
      </c>
      <c r="AU387">
        <f t="shared" si="351"/>
        <v>1.4613354831240566</v>
      </c>
      <c r="AV387" t="str">
        <f t="shared" si="327"/>
        <v>1+9,09917081414461i</v>
      </c>
      <c r="AW387">
        <f t="shared" si="352"/>
        <v>9.1539559483854358</v>
      </c>
      <c r="AX387">
        <f t="shared" si="353"/>
        <v>1.4613354831240566</v>
      </c>
      <c r="AY387" t="str">
        <f t="shared" si="328"/>
        <v>1-0,00279745769965946i</v>
      </c>
      <c r="AZ387">
        <f t="shared" si="354"/>
        <v>1.0000039128771354</v>
      </c>
      <c r="BA387">
        <f t="shared" si="355"/>
        <v>-2.7974504022739342E-3</v>
      </c>
      <c r="BB387" s="58" t="str">
        <f t="shared" si="356"/>
        <v>-0,0123060263543594+0,114934671243325i</v>
      </c>
      <c r="BC387">
        <f t="shared" si="357"/>
        <v>-18.74147483782788</v>
      </c>
      <c r="BD387" s="60">
        <f t="shared" si="358"/>
        <v>96.111362262832955</v>
      </c>
      <c r="BE387" s="58" t="str">
        <f t="shared" si="359"/>
        <v>0,0186250128315635-0,0208273175010095i</v>
      </c>
      <c r="BF387" s="37">
        <f t="shared" si="360"/>
        <v>-31.075334791154646</v>
      </c>
      <c r="BG387" s="60">
        <f t="shared" si="361"/>
        <v>-48.19504426586834</v>
      </c>
      <c r="BH387" s="58" t="str">
        <f t="shared" si="362"/>
        <v>0,0846989531718532+0,136278461299128i</v>
      </c>
      <c r="BI387" s="37">
        <f t="shared" si="363"/>
        <v>-15.892947612015965</v>
      </c>
      <c r="BJ387" s="60">
        <f t="shared" si="364"/>
        <v>58.138475746371768</v>
      </c>
      <c r="BK387">
        <f t="shared" si="365"/>
        <v>-31.075334791154646</v>
      </c>
      <c r="BL387" s="60">
        <f t="shared" si="366"/>
        <v>-48.19504426586834</v>
      </c>
      <c r="BN387">
        <f t="shared" si="367"/>
        <v>0</v>
      </c>
      <c r="BO387">
        <f t="shared" si="368"/>
        <v>0</v>
      </c>
    </row>
    <row r="388" spans="13:67" x14ac:dyDescent="0.25">
      <c r="M388" s="66">
        <v>70</v>
      </c>
      <c r="N388" s="36">
        <f t="shared" si="369"/>
        <v>50118.723362727294</v>
      </c>
      <c r="O388" s="91" t="str">
        <f t="shared" si="317"/>
        <v>13,7404580152672</v>
      </c>
      <c r="P388" s="67" t="str">
        <f t="shared" si="318"/>
        <v>1+340,097644347069i</v>
      </c>
      <c r="Q388" s="67">
        <f t="shared" si="329"/>
        <v>340.09911450991086</v>
      </c>
      <c r="R388" s="67">
        <f t="shared" si="330"/>
        <v>1.5678560032296336</v>
      </c>
      <c r="S388" s="67" t="str">
        <f t="shared" si="319"/>
        <v>1+9,44715678741859i</v>
      </c>
      <c r="T388" s="67">
        <f t="shared" si="331"/>
        <v>9.4999353348361879</v>
      </c>
      <c r="U388" s="67">
        <f t="shared" si="332"/>
        <v>1.4653370808762478</v>
      </c>
      <c r="V388" t="str">
        <f t="shared" si="320"/>
        <v>1-1,96815766404554i</v>
      </c>
      <c r="W388" s="67">
        <f t="shared" si="333"/>
        <v>2.2076332554437559</v>
      </c>
      <c r="X388" s="67">
        <f t="shared" si="334"/>
        <v>-1.1006981788415562</v>
      </c>
      <c r="Y388" t="str">
        <f t="shared" si="321"/>
        <v>0,839239268383387+3,41507906937896i</v>
      </c>
      <c r="Z388" s="67">
        <f t="shared" si="335"/>
        <v>3.5166870204365561</v>
      </c>
      <c r="AA388" s="67">
        <f t="shared" si="336"/>
        <v>1.3298261785742975</v>
      </c>
      <c r="AB388" s="92" t="str">
        <f t="shared" si="337"/>
        <v>-0,19768631130029-0,137740271814978i</v>
      </c>
      <c r="AC388" s="37">
        <f t="shared" si="338"/>
        <v>-12.361808671603002</v>
      </c>
      <c r="AD388" s="60">
        <f t="shared" si="339"/>
        <v>-145.13268925475313</v>
      </c>
      <c r="AE388" t="str">
        <f t="shared" si="340"/>
        <v>21,0353732052265</v>
      </c>
      <c r="AF388" t="str">
        <f t="shared" si="322"/>
        <v>1+170,048822173535i</v>
      </c>
      <c r="AG388">
        <f t="shared" si="341"/>
        <v>170.05176248015349</v>
      </c>
      <c r="AH388">
        <f t="shared" si="342"/>
        <v>1.5649157305046419</v>
      </c>
      <c r="AI388" t="str">
        <f t="shared" si="323"/>
        <v>1+9,44715678741859i</v>
      </c>
      <c r="AJ388">
        <f t="shared" si="343"/>
        <v>9.4999353348361879</v>
      </c>
      <c r="AK388">
        <f t="shared" si="344"/>
        <v>1.4653370808762478</v>
      </c>
      <c r="AL388" t="str">
        <f t="shared" si="324"/>
        <v>1-0,642797601367952i</v>
      </c>
      <c r="AM388">
        <f t="shared" si="345"/>
        <v>1.1887761590494623</v>
      </c>
      <c r="AN388">
        <f t="shared" si="346"/>
        <v>-0.57129534825256112</v>
      </c>
      <c r="AO388" s="58" t="str">
        <f t="shared" si="347"/>
        <v>1,09422364637203-0,868460948555231i</v>
      </c>
      <c r="AP388">
        <f t="shared" si="348"/>
        <v>2.9037963982047059</v>
      </c>
      <c r="AQ388" s="60">
        <f t="shared" si="349"/>
        <v>-38.438248663647251</v>
      </c>
      <c r="AR388" t="str">
        <f t="shared" si="325"/>
        <v>-1,05811623246493</v>
      </c>
      <c r="AS388" t="str">
        <f t="shared" si="326"/>
        <v>1+9,31111772967976i</v>
      </c>
      <c r="AT388">
        <f t="shared" si="350"/>
        <v>9.3646630145433836</v>
      </c>
      <c r="AU388">
        <f t="shared" si="351"/>
        <v>1.4638079277345539</v>
      </c>
      <c r="AV388" t="str">
        <f t="shared" si="327"/>
        <v>1+9,31111772967976i</v>
      </c>
      <c r="AW388">
        <f t="shared" si="352"/>
        <v>9.3646630145433836</v>
      </c>
      <c r="AX388">
        <f t="shared" si="353"/>
        <v>1.4638079277345539</v>
      </c>
      <c r="AY388" t="str">
        <f t="shared" si="328"/>
        <v>1-0,00273377978815664i</v>
      </c>
      <c r="AZ388">
        <f t="shared" si="354"/>
        <v>1.0000037367689834</v>
      </c>
      <c r="BA388">
        <f t="shared" si="355"/>
        <v>-2.7337729778387746E-3</v>
      </c>
      <c r="BB388" s="58" t="str">
        <f t="shared" si="356"/>
        <v>-0,0117584795750881+0,112377244415513i</v>
      </c>
      <c r="BC388">
        <f t="shared" si="357"/>
        <v>-18.939143084600495</v>
      </c>
      <c r="BD388" s="60">
        <f t="shared" si="358"/>
        <v>95.973350069242002</v>
      </c>
      <c r="BE388" s="58" t="str">
        <f t="shared" si="359"/>
        <v>0,0178033626453099-0,0205958267497904i</v>
      </c>
      <c r="BF388" s="37">
        <f t="shared" si="360"/>
        <v>-31.300951756203503</v>
      </c>
      <c r="BG388" s="60">
        <f t="shared" si="361"/>
        <v>-49.15933918551125</v>
      </c>
      <c r="BH388" s="58" t="str">
        <f t="shared" si="362"/>
        <v>0,0847288418846755+0,133177618478932i</v>
      </c>
      <c r="BI388" s="37">
        <f t="shared" si="363"/>
        <v>-16.035346686395783</v>
      </c>
      <c r="BJ388" s="60">
        <f t="shared" si="364"/>
        <v>57.535101405594801</v>
      </c>
      <c r="BK388">
        <f t="shared" si="365"/>
        <v>-31.300951756203503</v>
      </c>
      <c r="BL388" s="60">
        <f t="shared" si="366"/>
        <v>-49.15933918551125</v>
      </c>
      <c r="BN388">
        <f t="shared" si="367"/>
        <v>0</v>
      </c>
      <c r="BO388">
        <f t="shared" si="368"/>
        <v>0</v>
      </c>
    </row>
    <row r="389" spans="13:67" x14ac:dyDescent="0.25">
      <c r="M389" s="66">
        <v>71</v>
      </c>
      <c r="N389" s="36">
        <f t="shared" si="369"/>
        <v>51286.138399136544</v>
      </c>
      <c r="O389" s="91" t="str">
        <f t="shared" si="317"/>
        <v>13,7404580152672</v>
      </c>
      <c r="P389" s="67" t="str">
        <f t="shared" si="318"/>
        <v>1+348,019536151549i</v>
      </c>
      <c r="Q389" s="67">
        <f t="shared" si="329"/>
        <v>348.02097284953868</v>
      </c>
      <c r="R389" s="67">
        <f t="shared" si="330"/>
        <v>1.5679229327925783</v>
      </c>
      <c r="S389" s="67" t="str">
        <f t="shared" si="319"/>
        <v>1+9,66720933754303i</v>
      </c>
      <c r="T389" s="67">
        <f t="shared" si="331"/>
        <v>9.7187929485033866</v>
      </c>
      <c r="U389" s="67">
        <f t="shared" si="332"/>
        <v>1.4677204638799888</v>
      </c>
      <c r="V389" t="str">
        <f t="shared" si="320"/>
        <v>1-2,01400194532146i</v>
      </c>
      <c r="W389" s="67">
        <f t="shared" si="333"/>
        <v>2.2486004170947371</v>
      </c>
      <c r="X389" s="67">
        <f t="shared" si="334"/>
        <v>-1.1099335026571939</v>
      </c>
      <c r="Y389" t="str">
        <f t="shared" si="321"/>
        <v>0,831662848518695+3,49462647978018i</v>
      </c>
      <c r="Z389" s="67">
        <f t="shared" si="335"/>
        <v>3.5922245651945319</v>
      </c>
      <c r="AA389" s="67">
        <f t="shared" si="336"/>
        <v>1.3371590525630164</v>
      </c>
      <c r="AB389" s="92" t="str">
        <f t="shared" si="337"/>
        <v>-0,199008418594289-0,134489476041888i</v>
      </c>
      <c r="AC389" s="37">
        <f t="shared" si="338"/>
        <v>-12.388861377824368</v>
      </c>
      <c r="AD389" s="60">
        <f t="shared" si="339"/>
        <v>-145.94925405748455</v>
      </c>
      <c r="AE389" t="str">
        <f t="shared" si="340"/>
        <v>21,0353732052265</v>
      </c>
      <c r="AF389" t="str">
        <f t="shared" si="322"/>
        <v>1+174,009768075775i</v>
      </c>
      <c r="AG389">
        <f t="shared" si="341"/>
        <v>174.01264145396166</v>
      </c>
      <c r="AH389">
        <f t="shared" si="342"/>
        <v>1.5650495862372173</v>
      </c>
      <c r="AI389" t="str">
        <f t="shared" si="323"/>
        <v>1+9,66720933754303i</v>
      </c>
      <c r="AJ389">
        <f t="shared" si="343"/>
        <v>9.7187929485033866</v>
      </c>
      <c r="AK389">
        <f t="shared" si="344"/>
        <v>1.4677204638799888</v>
      </c>
      <c r="AL389" t="str">
        <f t="shared" si="324"/>
        <v>1-0,657770280934705i</v>
      </c>
      <c r="AM389">
        <f t="shared" si="345"/>
        <v>1.1969384873421527</v>
      </c>
      <c r="AN389">
        <f t="shared" si="346"/>
        <v>-0.58181825269754361</v>
      </c>
      <c r="AO389" s="58" t="str">
        <f t="shared" si="347"/>
        <v>1,09419260987832-0,883289349653121i</v>
      </c>
      <c r="AP389">
        <f t="shared" si="348"/>
        <v>2.9610716768977441</v>
      </c>
      <c r="AQ389" s="60">
        <f t="shared" si="349"/>
        <v>-38.912278258026738</v>
      </c>
      <c r="AR389" t="str">
        <f t="shared" si="325"/>
        <v>-1,05811623246493</v>
      </c>
      <c r="AS389" t="str">
        <f t="shared" si="326"/>
        <v>1+9,5280015230824i</v>
      </c>
      <c r="AT389">
        <f t="shared" si="350"/>
        <v>9.5803347031228796</v>
      </c>
      <c r="AU389">
        <f t="shared" si="351"/>
        <v>1.4662253620777461</v>
      </c>
      <c r="AV389" t="str">
        <f t="shared" si="327"/>
        <v>1+9,5280015230824i</v>
      </c>
      <c r="AW389">
        <f t="shared" si="352"/>
        <v>9.5803347031228796</v>
      </c>
      <c r="AX389">
        <f t="shared" si="353"/>
        <v>1.4662253620777461</v>
      </c>
      <c r="AY389" t="str">
        <f t="shared" si="328"/>
        <v>1-0,00267155136288335i</v>
      </c>
      <c r="AZ389">
        <f t="shared" si="354"/>
        <v>1.0000035685869748</v>
      </c>
      <c r="BA389">
        <f t="shared" si="355"/>
        <v>-2.6715450071236294E-3</v>
      </c>
      <c r="BB389" s="58" t="str">
        <f t="shared" si="356"/>
        <v>-0,0112350268068313+0,109874164390291i</v>
      </c>
      <c r="BC389">
        <f t="shared" si="357"/>
        <v>-19.136915106731372</v>
      </c>
      <c r="BD389" s="60">
        <f t="shared" si="358"/>
        <v>95.838406684216721</v>
      </c>
      <c r="BE389" s="58" t="str">
        <f t="shared" si="359"/>
        <v>0,0170127837170824-0,0203548908311134i</v>
      </c>
      <c r="BF389" s="37">
        <f t="shared" si="360"/>
        <v>-31.52577648455576</v>
      </c>
      <c r="BG389" s="60">
        <f t="shared" si="361"/>
        <v>-50.110847373267859</v>
      </c>
      <c r="BH389" s="58" t="str">
        <f t="shared" si="362"/>
        <v>0,0847573959041606+0,130147278213953i</v>
      </c>
      <c r="BI389" s="37">
        <f t="shared" si="363"/>
        <v>-16.175843429833648</v>
      </c>
      <c r="BJ389" s="60">
        <f t="shared" si="364"/>
        <v>56.926128426189905</v>
      </c>
      <c r="BK389">
        <f t="shared" si="365"/>
        <v>-31.52577648455576</v>
      </c>
      <c r="BL389" s="60">
        <f t="shared" si="366"/>
        <v>-50.110847373267859</v>
      </c>
      <c r="BN389">
        <f t="shared" si="367"/>
        <v>0</v>
      </c>
      <c r="BO389">
        <f t="shared" si="368"/>
        <v>0</v>
      </c>
    </row>
    <row r="390" spans="13:67" x14ac:dyDescent="0.25">
      <c r="M390" s="66">
        <v>72</v>
      </c>
      <c r="N390" s="36">
        <f t="shared" si="369"/>
        <v>52480.746024977314</v>
      </c>
      <c r="O390" s="91" t="str">
        <f t="shared" si="317"/>
        <v>13,7404580152672</v>
      </c>
      <c r="P390" s="67" t="str">
        <f t="shared" si="318"/>
        <v>1+356,125952520678i</v>
      </c>
      <c r="Q390" s="67">
        <f t="shared" si="329"/>
        <v>356.1273565155592</v>
      </c>
      <c r="R390" s="67">
        <f t="shared" si="330"/>
        <v>1.5679883388775455</v>
      </c>
      <c r="S390" s="67" t="str">
        <f t="shared" si="319"/>
        <v>1+9,89238757001884i</v>
      </c>
      <c r="T390" s="67">
        <f t="shared" si="331"/>
        <v>9.9428030170301192</v>
      </c>
      <c r="U390" s="67">
        <f t="shared" si="332"/>
        <v>1.4700507306041048</v>
      </c>
      <c r="V390" t="str">
        <f t="shared" si="320"/>
        <v>1-2,06091407708726i</v>
      </c>
      <c r="W390" s="67">
        <f t="shared" si="333"/>
        <v>2.290713171293262</v>
      </c>
      <c r="X390" s="67">
        <f t="shared" si="334"/>
        <v>-1.1190411912460003</v>
      </c>
      <c r="Y390" t="str">
        <f t="shared" si="321"/>
        <v>0,823729362986357+3,57602678739782i</v>
      </c>
      <c r="Z390" s="67">
        <f t="shared" si="335"/>
        <v>3.6696726894414824</v>
      </c>
      <c r="AA390" s="67">
        <f t="shared" si="336"/>
        <v>1.344397781599147</v>
      </c>
      <c r="AB390" s="92" t="str">
        <f t="shared" si="337"/>
        <v>-0,200277956075824-0,131277656529732i</v>
      </c>
      <c r="AC390" s="37">
        <f t="shared" si="338"/>
        <v>-12.415038158979064</v>
      </c>
      <c r="AD390" s="60">
        <f t="shared" si="339"/>
        <v>-146.75606784174317</v>
      </c>
      <c r="AE390" t="str">
        <f t="shared" si="340"/>
        <v>21,0353732052265</v>
      </c>
      <c r="AF390" t="str">
        <f t="shared" si="322"/>
        <v>1+178,062976260339i</v>
      </c>
      <c r="AG390">
        <f t="shared" si="341"/>
        <v>178.06578423349629</v>
      </c>
      <c r="AH390">
        <f t="shared" si="342"/>
        <v>1.5651803952403207</v>
      </c>
      <c r="AI390" t="str">
        <f t="shared" si="323"/>
        <v>1+9,89238757001884i</v>
      </c>
      <c r="AJ390">
        <f t="shared" si="343"/>
        <v>9.9428030170301192</v>
      </c>
      <c r="AK390">
        <f t="shared" si="344"/>
        <v>1.4700507306041048</v>
      </c>
      <c r="AL390" t="str">
        <f t="shared" si="324"/>
        <v>1-0,673091719011025i</v>
      </c>
      <c r="AM390">
        <f t="shared" si="345"/>
        <v>1.20542625747128</v>
      </c>
      <c r="AN390">
        <f t="shared" si="346"/>
        <v>-0.5924375361581713</v>
      </c>
      <c r="AO390" s="58" t="str">
        <f t="shared" si="347"/>
        <v>1,09416297016674-0,898586066397061i</v>
      </c>
      <c r="AP390">
        <f t="shared" si="348"/>
        <v>3.0203845521328763</v>
      </c>
      <c r="AQ390" s="60">
        <f t="shared" si="349"/>
        <v>-39.394698737142413</v>
      </c>
      <c r="AR390" t="str">
        <f t="shared" si="325"/>
        <v>-1,05811623246493</v>
      </c>
      <c r="AS390" t="str">
        <f t="shared" si="326"/>
        <v>1+9,74993718901056i</v>
      </c>
      <c r="AT390">
        <f t="shared" si="350"/>
        <v>9.8010854087519874</v>
      </c>
      <c r="AU390">
        <f t="shared" si="351"/>
        <v>1.4685889548280218</v>
      </c>
      <c r="AV390" t="str">
        <f t="shared" si="327"/>
        <v>1+9,74993718901056i</v>
      </c>
      <c r="AW390">
        <f t="shared" si="352"/>
        <v>9.8010854087519874</v>
      </c>
      <c r="AX390">
        <f t="shared" si="353"/>
        <v>1.4685889548280218</v>
      </c>
      <c r="AY390" t="str">
        <f t="shared" si="328"/>
        <v>1-0,00261073942950484i</v>
      </c>
      <c r="AZ390">
        <f t="shared" si="354"/>
        <v>1.0000034079743771</v>
      </c>
      <c r="BA390">
        <f t="shared" si="355"/>
        <v>-2.6107334979636027E-3</v>
      </c>
      <c r="BB390" s="58" t="str">
        <f t="shared" si="356"/>
        <v>-0,0107346312308849+0,107424446017414i</v>
      </c>
      <c r="BC390">
        <f t="shared" si="357"/>
        <v>-19.334786335482292</v>
      </c>
      <c r="BD390" s="60">
        <f t="shared" si="358"/>
        <v>95.706467037958916</v>
      </c>
      <c r="BE390" s="58" t="str">
        <f t="shared" si="359"/>
        <v>0,0162523395293201-0,0201055312492439i</v>
      </c>
      <c r="BF390" s="37">
        <f t="shared" si="360"/>
        <v>-31.749824494461372</v>
      </c>
      <c r="BG390" s="60">
        <f t="shared" si="361"/>
        <v>-51.049600803784323</v>
      </c>
      <c r="BH390" s="58" t="str">
        <f t="shared" si="362"/>
        <v>0,0847846743904418+0,127185840974914i</v>
      </c>
      <c r="BI390" s="37">
        <f t="shared" si="363"/>
        <v>-16.314401783349425</v>
      </c>
      <c r="BJ390" s="60">
        <f t="shared" si="364"/>
        <v>56.31176830081646</v>
      </c>
      <c r="BK390">
        <f t="shared" si="365"/>
        <v>-31.749824494461372</v>
      </c>
      <c r="BL390" s="60">
        <f t="shared" si="366"/>
        <v>-51.049600803784323</v>
      </c>
      <c r="BN390">
        <f t="shared" si="367"/>
        <v>0</v>
      </c>
      <c r="BO390">
        <f t="shared" si="368"/>
        <v>0</v>
      </c>
    </row>
    <row r="391" spans="13:67" x14ac:dyDescent="0.25">
      <c r="M391" s="66">
        <v>73</v>
      </c>
      <c r="N391" s="36">
        <f t="shared" si="369"/>
        <v>53703.179637025423</v>
      </c>
      <c r="O391" s="91" t="str">
        <f t="shared" si="317"/>
        <v>13,7404580152672</v>
      </c>
      <c r="P391" s="67" t="str">
        <f t="shared" si="318"/>
        <v>1+364,421191583719i</v>
      </c>
      <c r="Q391" s="67">
        <f t="shared" si="329"/>
        <v>364.42256361989666</v>
      </c>
      <c r="R391" s="67">
        <f t="shared" si="330"/>
        <v>1.5680522561614674</v>
      </c>
      <c r="S391" s="67" t="str">
        <f t="shared" si="319"/>
        <v>1+10,1228108773255i</v>
      </c>
      <c r="T391" s="67">
        <f t="shared" si="331"/>
        <v>10.172084351699974</v>
      </c>
      <c r="U391" s="67">
        <f t="shared" si="332"/>
        <v>1.4723290153020001</v>
      </c>
      <c r="V391" t="str">
        <f t="shared" si="320"/>
        <v>1-2,10891893277615i</v>
      </c>
      <c r="W391" s="67">
        <f t="shared" si="333"/>
        <v>2.3339963721097972</v>
      </c>
      <c r="X391" s="67">
        <f t="shared" si="334"/>
        <v>-1.1280200287991291</v>
      </c>
      <c r="Y391" t="str">
        <f t="shared" si="321"/>
        <v>0,815421983799897+3,65932315175245i</v>
      </c>
      <c r="Z391" s="67">
        <f t="shared" si="335"/>
        <v>3.7490744111867986</v>
      </c>
      <c r="AA391" s="67">
        <f t="shared" si="336"/>
        <v>1.3515443723052223</v>
      </c>
      <c r="AB391" s="92" t="str">
        <f t="shared" si="337"/>
        <v>-0,201496462840978-0,128104963979319i</v>
      </c>
      <c r="AC391" s="37">
        <f t="shared" si="338"/>
        <v>-12.440359605716758</v>
      </c>
      <c r="AD391" s="60">
        <f t="shared" si="339"/>
        <v>-147.55311291672464</v>
      </c>
      <c r="AE391" t="str">
        <f t="shared" si="340"/>
        <v>21,0353732052265</v>
      </c>
      <c r="AF391" t="str">
        <f t="shared" si="322"/>
        <v>1+182,21059579186i</v>
      </c>
      <c r="AG391">
        <f t="shared" si="341"/>
        <v>182.21333984871853</v>
      </c>
      <c r="AH391">
        <f t="shared" si="342"/>
        <v>1.5653082268527003</v>
      </c>
      <c r="AI391" t="str">
        <f t="shared" si="323"/>
        <v>1+10,1228108773255i</v>
      </c>
      <c r="AJ391">
        <f t="shared" si="343"/>
        <v>10.172084351699974</v>
      </c>
      <c r="AK391">
        <f t="shared" si="344"/>
        <v>1.4723290153020001</v>
      </c>
      <c r="AL391" t="str">
        <f t="shared" si="324"/>
        <v>1-0,68877003922619i</v>
      </c>
      <c r="AM391">
        <f t="shared" si="345"/>
        <v>1.2142504547809103</v>
      </c>
      <c r="AN391">
        <f t="shared" si="346"/>
        <v>-0.60314924879533849</v>
      </c>
      <c r="AO391" s="58" t="str">
        <f t="shared" si="347"/>
        <v>1,09413466437968-0,914359210380537i</v>
      </c>
      <c r="AP391">
        <f t="shared" si="348"/>
        <v>3.0817656151300121</v>
      </c>
      <c r="AQ391" s="60">
        <f t="shared" si="349"/>
        <v>-39.885222776768046</v>
      </c>
      <c r="AR391" t="str">
        <f t="shared" si="325"/>
        <v>-1,05811623246493</v>
      </c>
      <c r="AS391" t="str">
        <f t="shared" si="326"/>
        <v>1+9,97704240069204i</v>
      </c>
      <c r="AT391">
        <f t="shared" si="350"/>
        <v>10.02703221622464</v>
      </c>
      <c r="AU391">
        <f t="shared" si="351"/>
        <v>1.4708998535007856</v>
      </c>
      <c r="AV391" t="str">
        <f t="shared" si="327"/>
        <v>1+9,97704240069204i</v>
      </c>
      <c r="AW391">
        <f t="shared" si="352"/>
        <v>10.02703221622464</v>
      </c>
      <c r="AX391">
        <f t="shared" si="353"/>
        <v>1.4708998535007856</v>
      </c>
      <c r="AY391" t="str">
        <f t="shared" si="328"/>
        <v>1-0,00255131174472906i</v>
      </c>
      <c r="AZ391">
        <f t="shared" si="354"/>
        <v>1.0000032545905133</v>
      </c>
      <c r="BA391">
        <f t="shared" si="355"/>
        <v>-2.5513062090916708E-3</v>
      </c>
      <c r="BB391" s="58" t="str">
        <f t="shared" si="356"/>
        <v>-0,0102562986040392+0,105027110417834i</v>
      </c>
      <c r="BC391">
        <f t="shared" si="357"/>
        <v>-19.532752398914138</v>
      </c>
      <c r="BD391" s="60">
        <f t="shared" si="358"/>
        <v>95.577467229967425</v>
      </c>
      <c r="BE391" s="58" t="str">
        <f t="shared" si="359"/>
        <v>0,0155211020874833-0,0198487084883708i</v>
      </c>
      <c r="BF391" s="37">
        <f t="shared" si="360"/>
        <v>-31.973112004630906</v>
      </c>
      <c r="BG391" s="60">
        <f t="shared" si="361"/>
        <v>-51.975645686757289</v>
      </c>
      <c r="BH391" s="58" t="str">
        <f t="shared" si="362"/>
        <v>0,084810733919292+0,124291743300801i</v>
      </c>
      <c r="BI391" s="37">
        <f t="shared" si="363"/>
        <v>-16.45098678378411</v>
      </c>
      <c r="BJ391" s="60">
        <f t="shared" si="364"/>
        <v>55.692244453199436</v>
      </c>
      <c r="BK391">
        <f t="shared" si="365"/>
        <v>-31.973112004630906</v>
      </c>
      <c r="BL391" s="60">
        <f t="shared" si="366"/>
        <v>-51.975645686757289</v>
      </c>
      <c r="BN391">
        <f t="shared" si="367"/>
        <v>0</v>
      </c>
      <c r="BO391">
        <f t="shared" si="368"/>
        <v>0</v>
      </c>
    </row>
    <row r="392" spans="13:67" x14ac:dyDescent="0.25">
      <c r="M392" s="66">
        <v>74</v>
      </c>
      <c r="N392" s="36">
        <f t="shared" si="369"/>
        <v>54954.087385762505</v>
      </c>
      <c r="O392" s="91" t="str">
        <f t="shared" si="317"/>
        <v>13,7404580152672</v>
      </c>
      <c r="P392" s="67" t="str">
        <f t="shared" si="318"/>
        <v>1+372,909651586221i</v>
      </c>
      <c r="Q392" s="67">
        <f t="shared" si="329"/>
        <v>372.9109923911559</v>
      </c>
      <c r="R392" s="67">
        <f t="shared" si="330"/>
        <v>1.5681147185320436</v>
      </c>
      <c r="S392" s="67" t="str">
        <f t="shared" si="319"/>
        <v>1+10,3586014329506i</v>
      </c>
      <c r="T392" s="67">
        <f t="shared" si="331"/>
        <v>10.406758556184833</v>
      </c>
      <c r="U392" s="67">
        <f t="shared" si="332"/>
        <v>1.474556431293512</v>
      </c>
      <c r="V392" t="str">
        <f t="shared" si="320"/>
        <v>1-2,15804196519804i</v>
      </c>
      <c r="W392" s="67">
        <f t="shared" si="333"/>
        <v>2.3784753779587078</v>
      </c>
      <c r="X392" s="67">
        <f t="shared" si="334"/>
        <v>-1.1368689840667487</v>
      </c>
      <c r="Y392" t="str">
        <f t="shared" si="321"/>
        <v>0,80672308989427+3,744559737679i</v>
      </c>
      <c r="Z392" s="67">
        <f t="shared" si="335"/>
        <v>3.8304738313706275</v>
      </c>
      <c r="AA392" s="67">
        <f t="shared" si="336"/>
        <v>1.3586008855048786</v>
      </c>
      <c r="AB392" s="92" t="str">
        <f t="shared" si="337"/>
        <v>-0,202665456853272-0,124971478079672i</v>
      </c>
      <c r="AC392" s="37">
        <f t="shared" si="338"/>
        <v>-12.464846738474131</v>
      </c>
      <c r="AD392" s="60">
        <f t="shared" si="339"/>
        <v>-148.3403864257568</v>
      </c>
      <c r="AE392" t="str">
        <f t="shared" si="340"/>
        <v>21,0353732052265</v>
      </c>
      <c r="AF392" t="str">
        <f t="shared" si="322"/>
        <v>1+186,454825793111i</v>
      </c>
      <c r="AG392">
        <f t="shared" si="341"/>
        <v>186.45750738851834</v>
      </c>
      <c r="AH392">
        <f t="shared" si="342"/>
        <v>1.5654331488356488</v>
      </c>
      <c r="AI392" t="str">
        <f t="shared" si="323"/>
        <v>1+10,3586014329506i</v>
      </c>
      <c r="AJ392">
        <f t="shared" si="343"/>
        <v>10.406758556184833</v>
      </c>
      <c r="AK392">
        <f t="shared" si="344"/>
        <v>1.474556431293512</v>
      </c>
      <c r="AL392" t="str">
        <f t="shared" si="324"/>
        <v>1-0,704813554433099i</v>
      </c>
      <c r="AM392">
        <f t="shared" si="345"/>
        <v>1.2234223091445648</v>
      </c>
      <c r="AN392">
        <f t="shared" si="346"/>
        <v>-0.6139492375317962</v>
      </c>
      <c r="AO392" s="58" t="str">
        <f t="shared" si="347"/>
        <v>1,09410763248788-0,930617145733533i</v>
      </c>
      <c r="AP392">
        <f t="shared" si="348"/>
        <v>3.1452444356214255</v>
      </c>
      <c r="AQ392" s="60">
        <f t="shared" si="349"/>
        <v>-40.38355251701374</v>
      </c>
      <c r="AR392" t="str">
        <f t="shared" si="325"/>
        <v>-1,05811623246493</v>
      </c>
      <c r="AS392" t="str">
        <f t="shared" si="326"/>
        <v>1+10,2094375723161i</v>
      </c>
      <c r="AT392">
        <f t="shared" si="350"/>
        <v>10.258294962761584</v>
      </c>
      <c r="AU392">
        <f t="shared" si="351"/>
        <v>1.4731591845847587</v>
      </c>
      <c r="AV392" t="str">
        <f t="shared" si="327"/>
        <v>1+10,2094375723161i</v>
      </c>
      <c r="AW392">
        <f t="shared" si="352"/>
        <v>10.258294962761584</v>
      </c>
      <c r="AX392">
        <f t="shared" si="353"/>
        <v>1.4731591845847587</v>
      </c>
      <c r="AY392" t="str">
        <f t="shared" si="328"/>
        <v>1-0,00249323679921096i</v>
      </c>
      <c r="AZ392">
        <f t="shared" si="354"/>
        <v>1.0000031081100382</v>
      </c>
      <c r="BA392">
        <f t="shared" si="355"/>
        <v>-2.4932316330526505E-3</v>
      </c>
      <c r="BB392" s="58" t="str">
        <f t="shared" si="356"/>
        <v>-0,00979907568968393+0,102681185848852i</v>
      </c>
      <c r="BC392">
        <f t="shared" si="357"/>
        <v>-19.730809113788734</v>
      </c>
      <c r="BD392" s="60">
        <f t="shared" si="358"/>
        <v>95.451344522437125</v>
      </c>
      <c r="BE392" s="58" t="str">
        <f t="shared" si="359"/>
        <v>0,0148181537178941-0,0195853244675389i</v>
      </c>
      <c r="BF392" s="37">
        <f t="shared" si="360"/>
        <v>-32.195655852262881</v>
      </c>
      <c r="BG392" s="60">
        <f t="shared" si="361"/>
        <v>-52.889041903319644</v>
      </c>
      <c r="BH392" s="58" t="str">
        <f t="shared" si="362"/>
        <v>0,0848356285917835+0,121463456999296i</v>
      </c>
      <c r="BI392" s="37">
        <f t="shared" si="363"/>
        <v>-16.585564678167305</v>
      </c>
      <c r="BJ392" s="60">
        <f t="shared" si="364"/>
        <v>55.067792005423392</v>
      </c>
      <c r="BK392">
        <f t="shared" si="365"/>
        <v>-32.195655852262881</v>
      </c>
      <c r="BL392" s="60">
        <f t="shared" si="366"/>
        <v>-52.889041903319644</v>
      </c>
      <c r="BN392">
        <f t="shared" si="367"/>
        <v>0</v>
      </c>
      <c r="BO392">
        <f t="shared" si="368"/>
        <v>0</v>
      </c>
    </row>
    <row r="393" spans="13:67" x14ac:dyDescent="0.25">
      <c r="M393" s="66">
        <v>75</v>
      </c>
      <c r="N393" s="36">
        <f t="shared" si="369"/>
        <v>56234.132519034953</v>
      </c>
      <c r="O393" s="91" t="str">
        <f t="shared" si="317"/>
        <v>13,7404580152672</v>
      </c>
      <c r="P393" s="67" t="str">
        <f t="shared" si="318"/>
        <v>1+381,595833222037i</v>
      </c>
      <c r="Q393" s="67">
        <f t="shared" si="329"/>
        <v>381.59714350663148</v>
      </c>
      <c r="R393" s="67">
        <f t="shared" si="330"/>
        <v>1.5681757591056995</v>
      </c>
      <c r="S393" s="67" t="str">
        <f t="shared" si="319"/>
        <v>1+10,5998842561677i</v>
      </c>
      <c r="T393" s="67">
        <f t="shared" si="331"/>
        <v>10.646950091183477</v>
      </c>
      <c r="U393" s="67">
        <f t="shared" si="332"/>
        <v>1.4767340711269932</v>
      </c>
      <c r="V393" t="str">
        <f t="shared" si="320"/>
        <v>1-2,20830922003494i</v>
      </c>
      <c r="W393" s="67">
        <f t="shared" si="333"/>
        <v>2.4241760685419127</v>
      </c>
      <c r="X393" s="67">
        <f t="shared" si="334"/>
        <v>-1.1455872045994058</v>
      </c>
      <c r="Y393" t="str">
        <f t="shared" si="321"/>
        <v>0,797614229749223+3,83178173874357i</v>
      </c>
      <c r="Z393" s="67">
        <f t="shared" si="335"/>
        <v>3.9139161657944523</v>
      </c>
      <c r="AA393" s="67">
        <f t="shared" si="336"/>
        <v>1.3655694320214722</v>
      </c>
      <c r="AB393" s="92" t="str">
        <f t="shared" si="337"/>
        <v>-0,203786432176038-0,121877210927516i</v>
      </c>
      <c r="AC393" s="37">
        <f t="shared" si="338"/>
        <v>-12.488520936905768</v>
      </c>
      <c r="AD393" s="60">
        <f t="shared" si="339"/>
        <v>-149.11789976737521</v>
      </c>
      <c r="AE393" t="str">
        <f t="shared" si="340"/>
        <v>21,0353732052265</v>
      </c>
      <c r="AF393" t="str">
        <f t="shared" si="322"/>
        <v>1+190,797916611019i</v>
      </c>
      <c r="AG393">
        <f t="shared" si="341"/>
        <v>190.80053716671068</v>
      </c>
      <c r="AH393">
        <f t="shared" si="342"/>
        <v>1.56555522740885</v>
      </c>
      <c r="AI393" t="str">
        <f t="shared" si="323"/>
        <v>1+10,5998842561677i</v>
      </c>
      <c r="AJ393">
        <f t="shared" si="343"/>
        <v>10.646950091183477</v>
      </c>
      <c r="AK393">
        <f t="shared" si="344"/>
        <v>1.4767340711269932</v>
      </c>
      <c r="AL393" t="str">
        <f t="shared" si="324"/>
        <v>1-0,721230771115879i</v>
      </c>
      <c r="AM393">
        <f t="shared" si="345"/>
        <v>1.2329532940076868</v>
      </c>
      <c r="AN393">
        <f t="shared" si="346"/>
        <v>-0.62483315108923476</v>
      </c>
      <c r="AO393" s="58" t="str">
        <f t="shared" si="347"/>
        <v>1,09408181716321-0,947368493562077i</v>
      </c>
      <c r="AP393">
        <f t="shared" si="348"/>
        <v>3.2108494404688255</v>
      </c>
      <c r="AQ393" s="60">
        <f t="shared" si="349"/>
        <v>-40.889379843695544</v>
      </c>
      <c r="AR393" t="str">
        <f t="shared" si="325"/>
        <v>-1,05811623246493</v>
      </c>
      <c r="AS393" t="str">
        <f t="shared" si="326"/>
        <v>1+10,4472459228789i</v>
      </c>
      <c r="AT393">
        <f t="shared" si="350"/>
        <v>10.494996301719681</v>
      </c>
      <c r="AU393">
        <f t="shared" si="351"/>
        <v>1.4753680536931046</v>
      </c>
      <c r="AV393" t="str">
        <f t="shared" si="327"/>
        <v>1+10,4472459228789i</v>
      </c>
      <c r="AW393">
        <f t="shared" si="352"/>
        <v>10.494996301719681</v>
      </c>
      <c r="AX393">
        <f t="shared" si="353"/>
        <v>1.4753680536931046</v>
      </c>
      <c r="AY393" t="str">
        <f t="shared" si="328"/>
        <v>1-0,00243648380084568i</v>
      </c>
      <c r="AZ393">
        <f t="shared" si="354"/>
        <v>1.0000029682222507</v>
      </c>
      <c r="BA393">
        <f t="shared" si="355"/>
        <v>-2.4364789795054101E-3</v>
      </c>
      <c r="BB393" s="58" t="str">
        <f t="shared" si="356"/>
        <v>-0,00936204873053675+0,100385708489706i</v>
      </c>
      <c r="BC393">
        <f t="shared" si="357"/>
        <v>-19.92895247776978</v>
      </c>
      <c r="BD393" s="60">
        <f t="shared" si="358"/>
        <v>95.328037332556477</v>
      </c>
      <c r="BE393" s="58" t="str">
        <f t="shared" si="359"/>
        <v>0,0141425886763623-0,0193162249867357i</v>
      </c>
      <c r="BF393" s="37">
        <f t="shared" si="360"/>
        <v>-32.417473414675548</v>
      </c>
      <c r="BG393" s="60">
        <f t="shared" si="361"/>
        <v>-53.789862434818772</v>
      </c>
      <c r="BH393" s="58" t="str">
        <f t="shared" si="362"/>
        <v>0,0848594101395784+0,118699488364137i</v>
      </c>
      <c r="BI393" s="37">
        <f t="shared" si="363"/>
        <v>-16.718103037300967</v>
      </c>
      <c r="BJ393" s="60">
        <f t="shared" si="364"/>
        <v>54.438657488860912</v>
      </c>
      <c r="BK393">
        <f t="shared" si="365"/>
        <v>-32.417473414675548</v>
      </c>
      <c r="BL393" s="60">
        <f t="shared" si="366"/>
        <v>-53.789862434818772</v>
      </c>
      <c r="BN393">
        <f t="shared" si="367"/>
        <v>0</v>
      </c>
      <c r="BO393">
        <f t="shared" si="368"/>
        <v>0</v>
      </c>
    </row>
    <row r="394" spans="13:67" x14ac:dyDescent="0.25">
      <c r="M394" s="66">
        <v>76</v>
      </c>
      <c r="N394" s="36">
        <f t="shared" si="369"/>
        <v>57543.993733715732</v>
      </c>
      <c r="O394" s="91" t="str">
        <f t="shared" si="317"/>
        <v>13,7404580152672</v>
      </c>
      <c r="P394" s="67" t="str">
        <f t="shared" si="318"/>
        <v>1+390,484342019646i</v>
      </c>
      <c r="Q394" s="67">
        <f t="shared" si="329"/>
        <v>390.48562247862066</v>
      </c>
      <c r="R394" s="67">
        <f t="shared" si="330"/>
        <v>1.5682354102451341</v>
      </c>
      <c r="S394" s="67" t="str">
        <f t="shared" si="319"/>
        <v>1+10,8467872783235i</v>
      </c>
      <c r="T394" s="67">
        <f t="shared" si="331"/>
        <v>10.892786340565049</v>
      </c>
      <c r="U394" s="67">
        <f t="shared" si="332"/>
        <v>1.4788630067574555</v>
      </c>
      <c r="V394" t="str">
        <f t="shared" si="320"/>
        <v>1-2,25974734965073i</v>
      </c>
      <c r="W394" s="67">
        <f t="shared" si="333"/>
        <v>2.4711248621333359</v>
      </c>
      <c r="X394" s="67">
        <f t="shared" si="334"/>
        <v>-1.1541740106910803</v>
      </c>
      <c r="Y394" t="str">
        <f t="shared" si="321"/>
        <v>0,78807608225114+3,92103540120566i</v>
      </c>
      <c r="Z394" s="67">
        <f t="shared" si="335"/>
        <v>3.9994477779968993</v>
      </c>
      <c r="AA394" s="67">
        <f t="shared" si="336"/>
        <v>1.3724521686922586</v>
      </c>
      <c r="AB394" s="92" t="str">
        <f t="shared" si="337"/>
        <v>-0,204860856500266-0,118822110429143i</v>
      </c>
      <c r="AC394" s="37">
        <f t="shared" si="338"/>
        <v>-12.511403872822001</v>
      </c>
      <c r="AD394" s="60">
        <f t="shared" si="339"/>
        <v>-149.88567801071375</v>
      </c>
      <c r="AE394" t="str">
        <f t="shared" si="340"/>
        <v>21,0353732052265</v>
      </c>
      <c r="AF394" t="str">
        <f t="shared" si="322"/>
        <v>1+195,242171009823i</v>
      </c>
      <c r="AG394">
        <f t="shared" si="341"/>
        <v>195.24473191517609</v>
      </c>
      <c r="AH394">
        <f t="shared" si="342"/>
        <v>1.5656745272854165</v>
      </c>
      <c r="AI394" t="str">
        <f t="shared" si="323"/>
        <v>1+10,8467872783235i</v>
      </c>
      <c r="AJ394">
        <f t="shared" si="343"/>
        <v>10.892786340565049</v>
      </c>
      <c r="AK394">
        <f t="shared" si="344"/>
        <v>1.4788630067574555</v>
      </c>
      <c r="AL394" t="str">
        <f t="shared" si="324"/>
        <v>1-0,738030393900124i</v>
      </c>
      <c r="AM394">
        <f t="shared" si="345"/>
        <v>1.2428551252339801</v>
      </c>
      <c r="AN394">
        <f t="shared" si="346"/>
        <v>-0.6357964460176333</v>
      </c>
      <c r="AO394" s="58" t="str">
        <f t="shared" si="347"/>
        <v>1,09405716365715-0,96462213652373i</v>
      </c>
      <c r="AP394">
        <f t="shared" si="348"/>
        <v>3.2786077940904756</v>
      </c>
      <c r="AQ394" s="60">
        <f t="shared" si="349"/>
        <v>-41.402386725593253</v>
      </c>
      <c r="AR394" t="str">
        <f t="shared" si="325"/>
        <v>-1,05811623246493</v>
      </c>
      <c r="AS394" t="str">
        <f t="shared" si="326"/>
        <v>1+10,6905935415157i</v>
      </c>
      <c r="AT394">
        <f t="shared" si="350"/>
        <v>10.737261767783126</v>
      </c>
      <c r="AU394">
        <f t="shared" si="351"/>
        <v>1.477527545731641</v>
      </c>
      <c r="AV394" t="str">
        <f t="shared" si="327"/>
        <v>1+10,6905935415157i</v>
      </c>
      <c r="AW394">
        <f t="shared" si="352"/>
        <v>10.737261767783126</v>
      </c>
      <c r="AX394">
        <f t="shared" si="353"/>
        <v>1.477527545731641</v>
      </c>
      <c r="AY394" t="str">
        <f t="shared" si="328"/>
        <v>1-0,00238102265844228i</v>
      </c>
      <c r="AZ394">
        <f t="shared" si="354"/>
        <v>1.0000028346304324</v>
      </c>
      <c r="BA394">
        <f t="shared" si="355"/>
        <v>-2.3810181589050163E-3</v>
      </c>
      <c r="BB394" s="58" t="str">
        <f t="shared" si="356"/>
        <v>-0,0089443419634763+0,0981397231526121i</v>
      </c>
      <c r="BC394">
        <f t="shared" si="357"/>
        <v>-20.127178661916744</v>
      </c>
      <c r="BD394" s="60">
        <f t="shared" si="358"/>
        <v>95.20748522380498</v>
      </c>
      <c r="BE394" s="58" t="str">
        <f t="shared" si="359"/>
        <v>0,0134935145773942-0,0190422021532429i</v>
      </c>
      <c r="BF394" s="37">
        <f t="shared" si="360"/>
        <v>-32.638582534738745</v>
      </c>
      <c r="BG394" s="60">
        <f t="shared" si="361"/>
        <v>-54.678192786908809</v>
      </c>
      <c r="BH394" s="58" t="str">
        <f t="shared" si="362"/>
        <v>0,0848821280259796+0,115998377409052i</v>
      </c>
      <c r="BI394" s="37">
        <f t="shared" si="363"/>
        <v>-16.848570867826268</v>
      </c>
      <c r="BJ394" s="60">
        <f t="shared" si="364"/>
        <v>53.805098498211699</v>
      </c>
      <c r="BK394">
        <f t="shared" si="365"/>
        <v>-32.638582534738745</v>
      </c>
      <c r="BL394" s="60">
        <f t="shared" si="366"/>
        <v>-54.678192786908809</v>
      </c>
      <c r="BN394">
        <f t="shared" si="367"/>
        <v>0</v>
      </c>
      <c r="BO394">
        <f t="shared" si="368"/>
        <v>0</v>
      </c>
    </row>
    <row r="395" spans="13:67" x14ac:dyDescent="0.25">
      <c r="M395" s="66">
        <v>77</v>
      </c>
      <c r="N395" s="36">
        <f t="shared" si="369"/>
        <v>58884.365535558936</v>
      </c>
      <c r="O395" s="91" t="str">
        <f t="shared" si="317"/>
        <v>13,7404580152672</v>
      </c>
      <c r="P395" s="67" t="str">
        <f t="shared" si="318"/>
        <v>1+399,579890784065i</v>
      </c>
      <c r="Q395" s="67">
        <f t="shared" si="329"/>
        <v>399.58114209632731</v>
      </c>
      <c r="R395" s="67">
        <f t="shared" si="330"/>
        <v>1.5682937035764728</v>
      </c>
      <c r="S395" s="67" t="str">
        <f t="shared" si="319"/>
        <v>1+11,0994414106685i</v>
      </c>
      <c r="T395" s="67">
        <f t="shared" si="331"/>
        <v>11.14439767905214</v>
      </c>
      <c r="U395" s="67">
        <f t="shared" si="332"/>
        <v>1.4809442897392135</v>
      </c>
      <c r="V395" t="str">
        <f t="shared" si="320"/>
        <v>1-2,3123836272226i</v>
      </c>
      <c r="W395" s="67">
        <f t="shared" si="333"/>
        <v>2.5193487331941862</v>
      </c>
      <c r="X395" s="67">
        <f t="shared" si="334"/>
        <v>-1.1626288890742154</v>
      </c>
      <c r="Y395" t="str">
        <f t="shared" si="321"/>
        <v>0,778088415710379+4,01236804853851i</v>
      </c>
      <c r="Z395" s="67">
        <f t="shared" si="335"/>
        <v>4.0871162131257552</v>
      </c>
      <c r="AA395" s="67">
        <f t="shared" si="336"/>
        <v>1.379251294596072</v>
      </c>
      <c r="AB395" s="92" t="str">
        <f t="shared" si="337"/>
        <v>-0,205890168950975-0,115806063668363i</v>
      </c>
      <c r="AC395" s="37">
        <f t="shared" si="338"/>
        <v>-12.533517446794775</v>
      </c>
      <c r="AD395" s="60">
        <f t="shared" si="339"/>
        <v>-150.64375930806267</v>
      </c>
      <c r="AE395" t="str">
        <f t="shared" si="340"/>
        <v>21,0353732052265</v>
      </c>
      <c r="AF395" t="str">
        <f t="shared" si="322"/>
        <v>1+199,789945392033i</v>
      </c>
      <c r="AG395">
        <f t="shared" si="341"/>
        <v>199.79244800480203</v>
      </c>
      <c r="AH395">
        <f t="shared" si="342"/>
        <v>1.5657911117061303</v>
      </c>
      <c r="AI395" t="str">
        <f t="shared" si="323"/>
        <v>1+11,0994414106685i</v>
      </c>
      <c r="AJ395">
        <f t="shared" si="343"/>
        <v>11.14439767905214</v>
      </c>
      <c r="AK395">
        <f t="shared" si="344"/>
        <v>1.4809442897392135</v>
      </c>
      <c r="AL395" t="str">
        <f t="shared" si="324"/>
        <v>1-0,755221330168202i</v>
      </c>
      <c r="AM395">
        <f t="shared" si="345"/>
        <v>1.2531397597798213</v>
      </c>
      <c r="AN395">
        <f t="shared" si="346"/>
        <v>-0.64683439371785245</v>
      </c>
      <c r="AO395" s="58" t="str">
        <f t="shared" si="347"/>
        <v>1,09403361968475-0,98238722354142i</v>
      </c>
      <c r="AP395">
        <f t="shared" si="348"/>
        <v>3.3485452814475023</v>
      </c>
      <c r="AQ395" s="60">
        <f t="shared" si="349"/>
        <v>-41.922245607738432</v>
      </c>
      <c r="AR395" t="str">
        <f t="shared" si="325"/>
        <v>-1,05811623246493</v>
      </c>
      <c r="AS395" t="str">
        <f t="shared" si="326"/>
        <v>1+10,9396094543549i</v>
      </c>
      <c r="AT395">
        <f t="shared" si="350"/>
        <v>10.985219843672272</v>
      </c>
      <c r="AU395">
        <f t="shared" si="351"/>
        <v>1.4796387250825227</v>
      </c>
      <c r="AV395" t="str">
        <f t="shared" si="327"/>
        <v>1+10,9396094543549i</v>
      </c>
      <c r="AW395">
        <f t="shared" si="352"/>
        <v>10.985219843672272</v>
      </c>
      <c r="AX395">
        <f t="shared" si="353"/>
        <v>1.4796387250825227</v>
      </c>
      <c r="AY395" t="str">
        <f t="shared" si="328"/>
        <v>1-0,00232682396576895i</v>
      </c>
      <c r="AZ395">
        <f t="shared" si="354"/>
        <v>1.0000027070512199</v>
      </c>
      <c r="BA395">
        <f t="shared" si="355"/>
        <v>-2.326819766555804E-3</v>
      </c>
      <c r="BB395" s="58" t="str">
        <f t="shared" si="356"/>
        <v>-0,00854511617675618+0,0959422839240714i</v>
      </c>
      <c r="BC395">
        <f t="shared" si="357"/>
        <v>-20.325484003461479</v>
      </c>
      <c r="BD395" s="60">
        <f t="shared" si="358"/>
        <v>95.08962889634229</v>
      </c>
      <c r="BE395" s="58" t="str">
        <f t="shared" si="359"/>
        <v>0,0128700536539372-0,0187639967786505i</v>
      </c>
      <c r="BF395" s="37">
        <f t="shared" si="360"/>
        <v>-32.859001450256258</v>
      </c>
      <c r="BG395" s="60">
        <f t="shared" si="361"/>
        <v>-55.554130411720415</v>
      </c>
      <c r="BH395" s="58" t="str">
        <f t="shared" si="362"/>
        <v>0,0849038295429078+0,113358697117996i</v>
      </c>
      <c r="BI395" s="37">
        <f t="shared" si="363"/>
        <v>-16.97693872201399</v>
      </c>
      <c r="BJ395" s="60">
        <f t="shared" si="364"/>
        <v>53.16738328860383</v>
      </c>
      <c r="BK395">
        <f t="shared" si="365"/>
        <v>-32.859001450256258</v>
      </c>
      <c r="BL395" s="60">
        <f t="shared" si="366"/>
        <v>-55.554130411720415</v>
      </c>
      <c r="BN395">
        <f t="shared" si="367"/>
        <v>0</v>
      </c>
      <c r="BO395">
        <f t="shared" si="368"/>
        <v>0</v>
      </c>
    </row>
    <row r="396" spans="13:67" x14ac:dyDescent="0.25">
      <c r="M396" s="66">
        <v>78</v>
      </c>
      <c r="N396" s="36">
        <f t="shared" si="369"/>
        <v>60255.95860743591</v>
      </c>
      <c r="O396" s="91" t="str">
        <f t="shared" si="317"/>
        <v>13,7404580152672</v>
      </c>
      <c r="P396" s="67" t="str">
        <f t="shared" si="318"/>
        <v>1+408,887302095644i</v>
      </c>
      <c r="Q396" s="67">
        <f t="shared" si="329"/>
        <v>408.88852492464792</v>
      </c>
      <c r="R396" s="67">
        <f t="shared" si="330"/>
        <v>1.5683506700060252</v>
      </c>
      <c r="S396" s="67" t="str">
        <f t="shared" si="319"/>
        <v>1+11,3579806137679i</v>
      </c>
      <c r="T396" s="67">
        <f t="shared" si="331"/>
        <v>11.401917541480794</v>
      </c>
      <c r="U396" s="67">
        <f t="shared" si="332"/>
        <v>1.4829789514315865</v>
      </c>
      <c r="V396" t="str">
        <f t="shared" si="320"/>
        <v>1-2,36624596120164i</v>
      </c>
      <c r="W396" s="67">
        <f t="shared" si="333"/>
        <v>2.5688752303105487</v>
      </c>
      <c r="X396" s="67">
        <f t="shared" si="334"/>
        <v>-1.170951486414832</v>
      </c>
      <c r="Y396" t="str">
        <f t="shared" si="321"/>
        <v>0,767630044947134+4,10582810652067i</v>
      </c>
      <c r="Z396" s="67">
        <f t="shared" si="335"/>
        <v>4.1769702328602545</v>
      </c>
      <c r="AA396" s="67">
        <f t="shared" si="336"/>
        <v>1.3859690474915725</v>
      </c>
      <c r="AB396" s="92" t="str">
        <f t="shared" si="337"/>
        <v>-0,20687577815514-0,112828900226349i</v>
      </c>
      <c r="AC396" s="37">
        <f t="shared" si="338"/>
        <v>-12.554883728546621</v>
      </c>
      <c r="AD396" s="60">
        <f t="shared" si="339"/>
        <v>-151.39219430726797</v>
      </c>
      <c r="AE396" t="str">
        <f t="shared" si="340"/>
        <v>21,0353732052265</v>
      </c>
      <c r="AF396" t="str">
        <f t="shared" si="322"/>
        <v>1+204,443651047822i</v>
      </c>
      <c r="AG396">
        <f t="shared" si="341"/>
        <v>204.44609669485894</v>
      </c>
      <c r="AH396">
        <f t="shared" si="342"/>
        <v>1.5659050424729104</v>
      </c>
      <c r="AI396" t="str">
        <f t="shared" si="323"/>
        <v>1+11,3579806137679i</v>
      </c>
      <c r="AJ396">
        <f t="shared" si="343"/>
        <v>11.401917541480794</v>
      </c>
      <c r="AK396">
        <f t="shared" si="344"/>
        <v>1.4829789514315865</v>
      </c>
      <c r="AL396" t="str">
        <f t="shared" si="324"/>
        <v>1-0,772812694782073i</v>
      </c>
      <c r="AM396">
        <f t="shared" si="345"/>
        <v>1.2638193942238463</v>
      </c>
      <c r="AN396">
        <f t="shared" si="346"/>
        <v>-0.65794208844975033</v>
      </c>
      <c r="AO396" s="58" t="str">
        <f t="shared" si="347"/>
        <v>1,09401113531375-1,00067317465823i</v>
      </c>
      <c r="AP396">
        <f t="shared" si="348"/>
        <v>3.4206861943521396</v>
      </c>
      <c r="AQ396" s="60">
        <f t="shared" si="349"/>
        <v>-42.448619860379182</v>
      </c>
      <c r="AR396" t="str">
        <f t="shared" si="325"/>
        <v>-1,05811623246493</v>
      </c>
      <c r="AS396" t="str">
        <f t="shared" si="326"/>
        <v>1+11,1944256929296i</v>
      </c>
      <c r="AT396">
        <f t="shared" si="350"/>
        <v>11.239002028406366</v>
      </c>
      <c r="AU396">
        <f t="shared" si="351"/>
        <v>1.4817026358018859</v>
      </c>
      <c r="AV396" t="str">
        <f t="shared" si="327"/>
        <v>1+11,1944256929296i</v>
      </c>
      <c r="AW396">
        <f t="shared" si="352"/>
        <v>11.239002028406366</v>
      </c>
      <c r="AX396">
        <f t="shared" si="353"/>
        <v>1.4817026358018859</v>
      </c>
      <c r="AY396" t="str">
        <f t="shared" si="328"/>
        <v>1-0,00227385898596142i</v>
      </c>
      <c r="AZ396">
        <f t="shared" si="354"/>
        <v>1.0000025852140022</v>
      </c>
      <c r="BA396">
        <f t="shared" si="355"/>
        <v>-2.2738550670271186E-3</v>
      </c>
      <c r="BB396" s="58" t="str">
        <f t="shared" si="356"/>
        <v>-0,00816356730969293+0,0937924547409687i</v>
      </c>
      <c r="BC396">
        <f t="shared" si="357"/>
        <v>-20.523864998860887</v>
      </c>
      <c r="BD396" s="60">
        <f t="shared" si="358"/>
        <v>94.974410176577138</v>
      </c>
      <c r="BE396" s="58" t="str">
        <f t="shared" si="359"/>
        <v>0,0122713438576677-0,0184823007381422i</v>
      </c>
      <c r="BF396" s="37">
        <f t="shared" si="360"/>
        <v>-33.078748727407515</v>
      </c>
      <c r="BG396" s="60">
        <f t="shared" si="361"/>
        <v>-56.417784130690798</v>
      </c>
      <c r="BH396" s="58" t="str">
        <f t="shared" si="362"/>
        <v>0,0849245599039461+0,110779052711357i</v>
      </c>
      <c r="BI396" s="37">
        <f t="shared" si="363"/>
        <v>-17.103178804508765</v>
      </c>
      <c r="BJ396" s="60">
        <f t="shared" si="364"/>
        <v>52.525790316197906</v>
      </c>
      <c r="BK396">
        <f t="shared" si="365"/>
        <v>-33.078748727407515</v>
      </c>
      <c r="BL396" s="60">
        <f t="shared" si="366"/>
        <v>-56.417784130690798</v>
      </c>
      <c r="BN396">
        <f t="shared" si="367"/>
        <v>0</v>
      </c>
      <c r="BO396">
        <f t="shared" si="368"/>
        <v>0</v>
      </c>
    </row>
    <row r="397" spans="13:67" x14ac:dyDescent="0.25">
      <c r="M397" s="66">
        <v>79</v>
      </c>
      <c r="N397" s="36">
        <f t="shared" si="369"/>
        <v>61659.500186148245</v>
      </c>
      <c r="O397" s="91" t="str">
        <f t="shared" si="317"/>
        <v>13,7404580152672</v>
      </c>
      <c r="P397" s="67" t="str">
        <f t="shared" si="318"/>
        <v>1+418,411510867055i</v>
      </c>
      <c r="Q397" s="67">
        <f t="shared" si="329"/>
        <v>418.41270586115292</v>
      </c>
      <c r="R397" s="67">
        <f t="shared" si="330"/>
        <v>1.568406339736667</v>
      </c>
      <c r="S397" s="67" t="str">
        <f t="shared" si="319"/>
        <v>1+11,6225419685293i</v>
      </c>
      <c r="T397" s="67">
        <f t="shared" si="331"/>
        <v>11.665482493674444</v>
      </c>
      <c r="U397" s="67">
        <f t="shared" si="332"/>
        <v>1.4849680032162933</v>
      </c>
      <c r="V397" t="str">
        <f t="shared" si="320"/>
        <v>1-2,42136291011027i</v>
      </c>
      <c r="W397" s="67">
        <f t="shared" si="333"/>
        <v>2.6197324944462701</v>
      </c>
      <c r="X397" s="67">
        <f t="shared" si="334"/>
        <v>-1.179141602653432</v>
      </c>
      <c r="Y397" t="str">
        <f t="shared" si="321"/>
        <v>0,75667878635484+4,20146512891195i</v>
      </c>
      <c r="Z397" s="67">
        <f t="shared" si="335"/>
        <v>4.2690598514406597</v>
      </c>
      <c r="AA397" s="67">
        <f t="shared" si="336"/>
        <v>1.3926077004623036</v>
      </c>
      <c r="AB397" s="92" t="str">
        <f t="shared" si="337"/>
        <v>-0,207819060554252-0,109890395441132i</v>
      </c>
      <c r="AC397" s="37">
        <f t="shared" si="338"/>
        <v>-12.575524901198422</v>
      </c>
      <c r="AD397" s="60">
        <f t="shared" si="339"/>
        <v>-152.13104556645203</v>
      </c>
      <c r="AE397" t="str">
        <f t="shared" si="340"/>
        <v>21,0353732052265</v>
      </c>
      <c r="AF397" t="str">
        <f t="shared" si="322"/>
        <v>1+209,205755433528i</v>
      </c>
      <c r="AG397">
        <f t="shared" si="341"/>
        <v>209.20814541148516</v>
      </c>
      <c r="AH397">
        <f t="shared" si="342"/>
        <v>1.5660163799815199</v>
      </c>
      <c r="AI397" t="str">
        <f t="shared" si="323"/>
        <v>1+11,6225419685293i</v>
      </c>
      <c r="AJ397">
        <f t="shared" si="343"/>
        <v>11.665482493674444</v>
      </c>
      <c r="AK397">
        <f t="shared" si="344"/>
        <v>1.4849680032162933</v>
      </c>
      <c r="AL397" t="str">
        <f t="shared" si="324"/>
        <v>1-0,790813814916099i</v>
      </c>
      <c r="AM397">
        <f t="shared" si="345"/>
        <v>1.2749064631815756</v>
      </c>
      <c r="AN397">
        <f t="shared" si="346"/>
        <v>-0.6691144563090754</v>
      </c>
      <c r="AO397" s="58" t="str">
        <f t="shared" si="347"/>
        <v>1,09398966285881-1,01948968603564i</v>
      </c>
      <c r="AP397">
        <f t="shared" si="348"/>
        <v>3.4950532218664971</v>
      </c>
      <c r="AQ397" s="60">
        <f t="shared" si="349"/>
        <v>-42.981164282734461</v>
      </c>
      <c r="AR397" t="str">
        <f t="shared" si="325"/>
        <v>-1,05811623246493</v>
      </c>
      <c r="AS397" t="str">
        <f t="shared" si="326"/>
        <v>1+11,4551773641825i</v>
      </c>
      <c r="AT397">
        <f t="shared" si="350"/>
        <v>11.49874290715638</v>
      </c>
      <c r="AU397">
        <f t="shared" si="351"/>
        <v>1.4837203018300293</v>
      </c>
      <c r="AV397" t="str">
        <f t="shared" si="327"/>
        <v>1+11,4551773641825i</v>
      </c>
      <c r="AW397">
        <f t="shared" si="352"/>
        <v>11.49874290715638</v>
      </c>
      <c r="AX397">
        <f t="shared" si="353"/>
        <v>1.4837203018300293</v>
      </c>
      <c r="AY397" t="str">
        <f t="shared" si="328"/>
        <v>1-0,00222209963628634i</v>
      </c>
      <c r="AZ397">
        <f t="shared" si="354"/>
        <v>1.0000024688603493</v>
      </c>
      <c r="BA397">
        <f t="shared" si="355"/>
        <v>-2.222095978923538E-3</v>
      </c>
      <c r="BB397" s="58" t="str">
        <f t="shared" si="356"/>
        <v>-0,00779892509476159+0,0916893099057768i</v>
      </c>
      <c r="BC397">
        <f t="shared" si="357"/>
        <v>-20.722318297116729</v>
      </c>
      <c r="BD397" s="60">
        <f t="shared" si="358"/>
        <v>94.861772005997381</v>
      </c>
      <c r="BE397" s="58" t="str">
        <f t="shared" si="359"/>
        <v>0,0116965398097966-0,0181977592848071i</v>
      </c>
      <c r="BF397" s="37">
        <f t="shared" si="360"/>
        <v>-33.297843198315164</v>
      </c>
      <c r="BG397" s="60">
        <f t="shared" si="361"/>
        <v>-57.269273560454771</v>
      </c>
      <c r="BH397" s="58" t="str">
        <f t="shared" si="362"/>
        <v>0,0849443623335855+0,108258080927852i</v>
      </c>
      <c r="BI397" s="37">
        <f t="shared" si="363"/>
        <v>-17.227265075250216</v>
      </c>
      <c r="BJ397" s="60">
        <f t="shared" si="364"/>
        <v>51.880607723263019</v>
      </c>
      <c r="BK397">
        <f t="shared" si="365"/>
        <v>-33.297843198315164</v>
      </c>
      <c r="BL397" s="60">
        <f t="shared" si="366"/>
        <v>-57.269273560454771</v>
      </c>
      <c r="BN397">
        <f t="shared" si="367"/>
        <v>0</v>
      </c>
      <c r="BO397">
        <f t="shared" si="368"/>
        <v>0</v>
      </c>
    </row>
    <row r="398" spans="13:67" x14ac:dyDescent="0.25">
      <c r="M398" s="66">
        <v>80</v>
      </c>
      <c r="N398" s="36">
        <f t="shared" si="369"/>
        <v>63095.734448019342</v>
      </c>
      <c r="O398" s="91" t="str">
        <f t="shared" si="317"/>
        <v>13,7404580152672</v>
      </c>
      <c r="P398" s="67" t="str">
        <f t="shared" si="318"/>
        <v>1+428,15756695986i</v>
      </c>
      <c r="Q398" s="67">
        <f t="shared" si="329"/>
        <v>428.15873475264635</v>
      </c>
      <c r="R398" s="67">
        <f t="shared" si="330"/>
        <v>1.568460742283845</v>
      </c>
      <c r="S398" s="67" t="str">
        <f t="shared" si="319"/>
        <v>1+11,893265748885i</v>
      </c>
      <c r="T398" s="67">
        <f t="shared" si="331"/>
        <v>11.935232304970066</v>
      </c>
      <c r="U398" s="67">
        <f t="shared" si="332"/>
        <v>1.4869124367252842</v>
      </c>
      <c r="V398" t="str">
        <f t="shared" si="320"/>
        <v>1-2,47776369768438i</v>
      </c>
      <c r="W398" s="67">
        <f t="shared" si="333"/>
        <v>2.6719492775055764</v>
      </c>
      <c r="X398" s="67">
        <f t="shared" si="334"/>
        <v>-1.1871991842347751</v>
      </c>
      <c r="Y398" t="str">
        <f t="shared" si="321"/>
        <v>0,745211410845762+4,29932982372755i</v>
      </c>
      <c r="Z398" s="67">
        <f t="shared" si="335"/>
        <v>4.3634363728657597</v>
      </c>
      <c r="AA398" s="67">
        <f t="shared" si="336"/>
        <v>1.3991695587641588</v>
      </c>
      <c r="AB398" s="92" t="str">
        <f t="shared" si="337"/>
        <v>-0,20872135894474-0,106990273596275i</v>
      </c>
      <c r="AC398" s="37">
        <f t="shared" si="338"/>
        <v>-12.595463209417819</v>
      </c>
      <c r="AD398" s="60">
        <f t="shared" si="339"/>
        <v>-152.86038697334354</v>
      </c>
      <c r="AE398" t="str">
        <f t="shared" si="340"/>
        <v>21,0353732052265</v>
      </c>
      <c r="AF398" t="str">
        <f t="shared" si="322"/>
        <v>1+214,07878347993i</v>
      </c>
      <c r="AG398">
        <f t="shared" si="341"/>
        <v>214.08111905594743</v>
      </c>
      <c r="AH398">
        <f t="shared" si="342"/>
        <v>1.5661251832535321</v>
      </c>
      <c r="AI398" t="str">
        <f t="shared" si="323"/>
        <v>1+11,893265748885i</v>
      </c>
      <c r="AJ398">
        <f t="shared" si="343"/>
        <v>11.935232304970066</v>
      </c>
      <c r="AK398">
        <f t="shared" si="344"/>
        <v>1.4869124367252842</v>
      </c>
      <c r="AL398" t="str">
        <f t="shared" si="324"/>
        <v>1-0,809234235002452i</v>
      </c>
      <c r="AM398">
        <f t="shared" si="345"/>
        <v>1.2864136376376005</v>
      </c>
      <c r="AN398">
        <f t="shared" si="346"/>
        <v>-0.68034626514721563</v>
      </c>
      <c r="AO398" s="58" t="str">
        <f t="shared" si="347"/>
        <v>1,09396915678038-1,03884673509794i</v>
      </c>
      <c r="AP398">
        <f t="shared" si="348"/>
        <v>3.5716673455555332</v>
      </c>
      <c r="AQ398" s="60">
        <f t="shared" si="349"/>
        <v>-43.519525660132118</v>
      </c>
      <c r="AR398" t="str">
        <f t="shared" si="325"/>
        <v>-1,05811623246493</v>
      </c>
      <c r="AS398" t="str">
        <f t="shared" si="326"/>
        <v>1+11,7220027221011i</v>
      </c>
      <c r="AT398">
        <f t="shared" si="350"/>
        <v>11.76458022272557</v>
      </c>
      <c r="AU398">
        <f t="shared" si="351"/>
        <v>1.485692727212812</v>
      </c>
      <c r="AV398" t="str">
        <f t="shared" si="327"/>
        <v>1+11,7220027221011i</v>
      </c>
      <c r="AW398">
        <f t="shared" si="352"/>
        <v>11.76458022272557</v>
      </c>
      <c r="AX398">
        <f t="shared" si="353"/>
        <v>1.485692727212812</v>
      </c>
      <c r="AY398" t="str">
        <f t="shared" si="328"/>
        <v>1-0,00217151847325138i</v>
      </c>
      <c r="AZ398">
        <f t="shared" si="354"/>
        <v>1.0000023577434602</v>
      </c>
      <c r="BA398">
        <f t="shared" si="355"/>
        <v>-2.1715150600013604E-3</v>
      </c>
      <c r="BB398" s="58" t="str">
        <f t="shared" si="356"/>
        <v>-0,00745045174188859+0,0896319345449457i</v>
      </c>
      <c r="BC398">
        <f t="shared" si="357"/>
        <v>-20.92084069335418</v>
      </c>
      <c r="BD398" s="60">
        <f t="shared" si="358"/>
        <v>94.751658429337581</v>
      </c>
      <c r="BE398" s="58" t="str">
        <f t="shared" si="359"/>
        <v>0,0111448136122463-0,0179109733127866i</v>
      </c>
      <c r="BF398" s="37">
        <f t="shared" si="360"/>
        <v>-33.516303902771995</v>
      </c>
      <c r="BG398" s="60">
        <f t="shared" si="361"/>
        <v>-58.108728544006112</v>
      </c>
      <c r="BH398" s="58" t="str">
        <f t="shared" si="362"/>
        <v>0,0849632781528223+0,105794449321794i</v>
      </c>
      <c r="BI398" s="37">
        <f t="shared" si="363"/>
        <v>-17.349173347798658</v>
      </c>
      <c r="BJ398" s="60">
        <f t="shared" si="364"/>
        <v>51.232132769205442</v>
      </c>
      <c r="BK398">
        <f t="shared" si="365"/>
        <v>-33.516303902771995</v>
      </c>
      <c r="BL398" s="60">
        <f t="shared" si="366"/>
        <v>-58.108728544006112</v>
      </c>
      <c r="BN398">
        <f t="shared" si="367"/>
        <v>0</v>
      </c>
      <c r="BO398">
        <f t="shared" si="368"/>
        <v>0</v>
      </c>
    </row>
    <row r="399" spans="13:67" x14ac:dyDescent="0.25">
      <c r="M399" s="66">
        <v>81</v>
      </c>
      <c r="N399" s="36">
        <f t="shared" si="369"/>
        <v>64565.422903465682</v>
      </c>
      <c r="O399" s="91" t="str">
        <f t="shared" si="317"/>
        <v>13,7404580152672</v>
      </c>
      <c r="P399" s="67" t="str">
        <f t="shared" si="318"/>
        <v>1+438,130637862003i</v>
      </c>
      <c r="Q399" s="67">
        <f t="shared" si="329"/>
        <v>438.13177907265026</v>
      </c>
      <c r="R399" s="67">
        <f t="shared" si="330"/>
        <v>1.568513906491221</v>
      </c>
      <c r="S399" s="67" t="str">
        <f t="shared" si="319"/>
        <v>1+12,1702954961668i</v>
      </c>
      <c r="T399" s="67">
        <f t="shared" si="331"/>
        <v>12.211310022434851</v>
      </c>
      <c r="U399" s="67">
        <f t="shared" si="332"/>
        <v>1.4888132240778169</v>
      </c>
      <c r="V399" t="str">
        <f t="shared" si="320"/>
        <v>1-2,53547822836808i</v>
      </c>
      <c r="W399" s="67">
        <f t="shared" si="333"/>
        <v>2.7255549612012118</v>
      </c>
      <c r="X399" s="67">
        <f t="shared" si="334"/>
        <v>-1.1951243172668347</v>
      </c>
      <c r="Y399" t="str">
        <f t="shared" si="321"/>
        <v>0,733203594578984+4,39947408012406i</v>
      </c>
      <c r="Z399" s="67">
        <f t="shared" si="335"/>
        <v>4.4601524293220054</v>
      </c>
      <c r="AA399" s="67">
        <f t="shared" si="336"/>
        <v>1.4056569568702324</v>
      </c>
      <c r="AB399" s="92" t="str">
        <f t="shared" si="337"/>
        <v>-0,209583981229861-0,104128211029956i</v>
      </c>
      <c r="AC399" s="37">
        <f t="shared" si="338"/>
        <v>-12.614720911474489</v>
      </c>
      <c r="AD399" s="60">
        <f t="shared" si="339"/>
        <v>-153.58030317131136</v>
      </c>
      <c r="AE399" t="str">
        <f t="shared" si="340"/>
        <v>21,0353732052265</v>
      </c>
      <c r="AF399" t="str">
        <f t="shared" si="322"/>
        <v>1+219,065318931002i</v>
      </c>
      <c r="AG399">
        <f t="shared" si="341"/>
        <v>219.06760134337898</v>
      </c>
      <c r="AH399">
        <f t="shared" si="342"/>
        <v>1.5662315099675721</v>
      </c>
      <c r="AI399" t="str">
        <f t="shared" si="323"/>
        <v>1+12,1702954961668i</v>
      </c>
      <c r="AJ399">
        <f t="shared" si="343"/>
        <v>12.211310022434851</v>
      </c>
      <c r="AK399">
        <f t="shared" si="344"/>
        <v>1.4888132240778169</v>
      </c>
      <c r="AL399" t="str">
        <f t="shared" si="324"/>
        <v>1-0,828083721791688i</v>
      </c>
      <c r="AM399">
        <f t="shared" si="345"/>
        <v>1.2983538232301601</v>
      </c>
      <c r="AN399">
        <f t="shared" si="346"/>
        <v>-0.69163213539850044</v>
      </c>
      <c r="AO399" s="58" t="str">
        <f t="shared" si="347"/>
        <v>1,09394957358814-1,05875458582555i</v>
      </c>
      <c r="AP399">
        <f t="shared" si="348"/>
        <v>3.6505477403465965</v>
      </c>
      <c r="AQ399" s="60">
        <f t="shared" si="349"/>
        <v>-44.063343372574977</v>
      </c>
      <c r="AR399" t="str">
        <f t="shared" si="325"/>
        <v>-1,05811623246493</v>
      </c>
      <c r="AS399" t="str">
        <f t="shared" si="326"/>
        <v>1+11,995043241022i</v>
      </c>
      <c r="AT399">
        <f t="shared" si="350"/>
        <v>12.036654948696818</v>
      </c>
      <c r="AU399">
        <f t="shared" si="351"/>
        <v>1.4876208963330408</v>
      </c>
      <c r="AV399" t="str">
        <f t="shared" si="327"/>
        <v>1+11,995043241022i</v>
      </c>
      <c r="AW399">
        <f t="shared" si="352"/>
        <v>12.036654948696818</v>
      </c>
      <c r="AX399">
        <f t="shared" si="353"/>
        <v>1.4876208963330408</v>
      </c>
      <c r="AY399" t="str">
        <f t="shared" si="328"/>
        <v>1-0,00212208867805438i</v>
      </c>
      <c r="AZ399">
        <f t="shared" si="354"/>
        <v>1.0000022516276439</v>
      </c>
      <c r="BA399">
        <f t="shared" si="355"/>
        <v>-2.1220854926237136E-3</v>
      </c>
      <c r="BB399" s="58" t="str">
        <f t="shared" si="356"/>
        <v>-0,00711744066460511+0,087619425014326i</v>
      </c>
      <c r="BC399">
        <f t="shared" si="357"/>
        <v>-21.119429122651617</v>
      </c>
      <c r="BD399" s="60">
        <f t="shared" si="358"/>
        <v>94.644014582154909</v>
      </c>
      <c r="BE399" s="58" t="str">
        <f t="shared" si="359"/>
        <v>0,0106153555288704-0,0176225015640565i</v>
      </c>
      <c r="BF399" s="37">
        <f t="shared" si="360"/>
        <v>-33.73415003412611</v>
      </c>
      <c r="BG399" s="60">
        <f t="shared" si="361"/>
        <v>-58.936288589156383</v>
      </c>
      <c r="BH399" s="58" t="str">
        <f t="shared" si="362"/>
        <v>0,0849813468612319+0,103386855575452i</v>
      </c>
      <c r="BI399" s="37">
        <f t="shared" si="363"/>
        <v>-17.46888138230501</v>
      </c>
      <c r="BJ399" s="60">
        <f t="shared" si="364"/>
        <v>50.580671209579997</v>
      </c>
      <c r="BK399">
        <f t="shared" si="365"/>
        <v>-33.73415003412611</v>
      </c>
      <c r="BL399" s="60">
        <f t="shared" si="366"/>
        <v>-58.936288589156383</v>
      </c>
      <c r="BN399">
        <f t="shared" si="367"/>
        <v>0</v>
      </c>
      <c r="BO399">
        <f t="shared" si="368"/>
        <v>0</v>
      </c>
    </row>
    <row r="400" spans="13:67" x14ac:dyDescent="0.25">
      <c r="M400" s="66">
        <v>82</v>
      </c>
      <c r="N400" s="36">
        <f t="shared" si="369"/>
        <v>66069.344800759733</v>
      </c>
      <c r="O400" s="91" t="str">
        <f t="shared" si="317"/>
        <v>13,7404580152672</v>
      </c>
      <c r="P400" s="67" t="str">
        <f t="shared" si="318"/>
        <v>1+448,336011427685i</v>
      </c>
      <c r="Q400" s="67">
        <f t="shared" si="329"/>
        <v>448.33712666127184</v>
      </c>
      <c r="R400" s="67">
        <f t="shared" si="330"/>
        <v>1.5685658605459587</v>
      </c>
      <c r="S400" s="67" t="str">
        <f t="shared" si="319"/>
        <v>1+12,4537780952135i</v>
      </c>
      <c r="T400" s="67">
        <f t="shared" si="331"/>
        <v>12.493862046814012</v>
      </c>
      <c r="U400" s="67">
        <f t="shared" si="332"/>
        <v>1.4906713181256908</v>
      </c>
      <c r="V400" t="str">
        <f t="shared" si="320"/>
        <v>1-2,59453710316948i</v>
      </c>
      <c r="W400" s="67">
        <f t="shared" si="333"/>
        <v>2.7805795762256249</v>
      </c>
      <c r="X400" s="67">
        <f t="shared" si="334"/>
        <v>-1.2029172206464329</v>
      </c>
      <c r="Y400" t="str">
        <f t="shared" si="321"/>
        <v>0,720629867366292+4,50195099591178i</v>
      </c>
      <c r="Z400" s="67">
        <f t="shared" si="335"/>
        <v>4.5592620209120929</v>
      </c>
      <c r="AA400" s="67">
        <f t="shared" si="336"/>
        <v>1.4120722557075711</v>
      </c>
      <c r="AB400" s="92" t="str">
        <f t="shared" si="337"/>
        <v>-0,210408199366983-0,101303839157223i</v>
      </c>
      <c r="AC400" s="37">
        <f t="shared" si="338"/>
        <v>-12.633320235182662</v>
      </c>
      <c r="AD400" s="60">
        <f t="shared" si="339"/>
        <v>-154.29088899399383</v>
      </c>
      <c r="AE400" t="str">
        <f t="shared" si="340"/>
        <v>21,0353732052265</v>
      </c>
      <c r="AF400" t="str">
        <f t="shared" si="322"/>
        <v>1+224,168005713843i</v>
      </c>
      <c r="AG400">
        <f t="shared" si="341"/>
        <v>224.1702361726943</v>
      </c>
      <c r="AH400">
        <f t="shared" si="342"/>
        <v>1.5663354164898486</v>
      </c>
      <c r="AI400" t="str">
        <f t="shared" si="323"/>
        <v>1+12,4537780952135i</v>
      </c>
      <c r="AJ400">
        <f t="shared" si="343"/>
        <v>12.493862046814012</v>
      </c>
      <c r="AK400">
        <f t="shared" si="344"/>
        <v>1.4906713181256908</v>
      </c>
      <c r="AL400" t="str">
        <f t="shared" si="324"/>
        <v>1-0,847372269531201i</v>
      </c>
      <c r="AM400">
        <f t="shared" si="345"/>
        <v>1.3107401585251206</v>
      </c>
      <c r="AN400">
        <f t="shared" si="346"/>
        <v>-0.70296655177055078</v>
      </c>
      <c r="AO400" s="58" t="str">
        <f t="shared" si="347"/>
        <v>1,09393087174883-1,07922379420005i</v>
      </c>
      <c r="AP400">
        <f t="shared" si="348"/>
        <v>3.7317116817250691</v>
      </c>
      <c r="AQ400" s="60">
        <f t="shared" si="349"/>
        <v>-44.612250052246296</v>
      </c>
      <c r="AR400" t="str">
        <f t="shared" si="325"/>
        <v>-1,05811623246493</v>
      </c>
      <c r="AS400" t="str">
        <f t="shared" si="326"/>
        <v>1+12,2744436906424i</v>
      </c>
      <c r="AT400">
        <f t="shared" si="350"/>
        <v>12.315111364285384</v>
      </c>
      <c r="AU400">
        <f t="shared" si="351"/>
        <v>1.4895057741506903</v>
      </c>
      <c r="AV400" t="str">
        <f t="shared" si="327"/>
        <v>1+12,2744436906424i</v>
      </c>
      <c r="AW400">
        <f t="shared" si="352"/>
        <v>12.315111364285384</v>
      </c>
      <c r="AX400">
        <f t="shared" si="353"/>
        <v>1.4895057741506903</v>
      </c>
      <c r="AY400" t="str">
        <f t="shared" si="328"/>
        <v>1-0,00207378404236365i</v>
      </c>
      <c r="AZ400">
        <f t="shared" si="354"/>
        <v>1.0000021502878154</v>
      </c>
      <c r="BA400">
        <f t="shared" si="355"/>
        <v>-2.0737810695464192E-3</v>
      </c>
      <c r="BB400" s="58" t="str">
        <f t="shared" si="356"/>
        <v>-0,00679921524761623+0,0856508892552744i</v>
      </c>
      <c r="BC400">
        <f t="shared" si="357"/>
        <v>-21.318080654113164</v>
      </c>
      <c r="BD400" s="60">
        <f t="shared" si="358"/>
        <v>94.538786677879912</v>
      </c>
      <c r="BE400" s="58" t="str">
        <f t="shared" si="359"/>
        <v>0,0101073745461489-0,0173328627745433i</v>
      </c>
      <c r="BF400" s="37">
        <f t="shared" si="360"/>
        <v>-33.951400889295826</v>
      </c>
      <c r="BG400" s="60">
        <f t="shared" si="361"/>
        <v>-59.75210231611392</v>
      </c>
      <c r="BH400" s="58" t="str">
        <f t="shared" si="362"/>
        <v>0,0849986062156528+0,1010340268262i</v>
      </c>
      <c r="BI400" s="37">
        <f t="shared" si="363"/>
        <v>-17.586368972388094</v>
      </c>
      <c r="BJ400" s="60">
        <f t="shared" si="364"/>
        <v>49.926536625633602</v>
      </c>
      <c r="BK400">
        <f t="shared" si="365"/>
        <v>-33.951400889295826</v>
      </c>
      <c r="BL400" s="60">
        <f t="shared" si="366"/>
        <v>-59.75210231611392</v>
      </c>
      <c r="BN400">
        <f t="shared" si="367"/>
        <v>0</v>
      </c>
      <c r="BO400">
        <f t="shared" si="368"/>
        <v>0</v>
      </c>
    </row>
    <row r="401" spans="13:67" x14ac:dyDescent="0.25">
      <c r="M401" s="66">
        <v>83</v>
      </c>
      <c r="N401" s="36">
        <f t="shared" si="369"/>
        <v>67608.297539198305</v>
      </c>
      <c r="O401" s="91" t="str">
        <f t="shared" si="317"/>
        <v>13,7404580152672</v>
      </c>
      <c r="P401" s="67" t="str">
        <f t="shared" si="318"/>
        <v>1+458,779098681054i</v>
      </c>
      <c r="Q401" s="67">
        <f t="shared" si="329"/>
        <v>458.78018852888607</v>
      </c>
      <c r="R401" s="67">
        <f t="shared" si="330"/>
        <v>1.5686166319936632</v>
      </c>
      <c r="S401" s="67" t="str">
        <f t="shared" si="319"/>
        <v>1+12,7438638522515i</v>
      </c>
      <c r="T401" s="67">
        <f t="shared" si="331"/>
        <v>12.783038210250426</v>
      </c>
      <c r="U401" s="67">
        <f t="shared" si="332"/>
        <v>1.4924876527056097</v>
      </c>
      <c r="V401" t="str">
        <f t="shared" si="320"/>
        <v>1-2,65497163588573i</v>
      </c>
      <c r="W401" s="67">
        <f t="shared" si="333"/>
        <v>2.8370538217238233</v>
      </c>
      <c r="X401" s="67">
        <f t="shared" si="334"/>
        <v>-1.2105782391860733</v>
      </c>
      <c r="Y401" t="str">
        <f t="shared" si="321"/>
        <v>0,707463558646477+4,60681490570788i</v>
      </c>
      <c r="Z401" s="67">
        <f t="shared" si="335"/>
        <v>4.6608205567544694</v>
      </c>
      <c r="AA401" s="67">
        <f t="shared" si="336"/>
        <v>1.4184178400799154</v>
      </c>
      <c r="AB401" s="92" t="str">
        <f t="shared" si="337"/>
        <v>-0,21119524849475-0,0985167473996154i</v>
      </c>
      <c r="AC401" s="37">
        <f t="shared" si="338"/>
        <v>-12.651283337682491</v>
      </c>
      <c r="AD401" s="60">
        <f t="shared" si="339"/>
        <v>-154.99224891022627</v>
      </c>
      <c r="AE401" t="str">
        <f t="shared" si="340"/>
        <v>21,0353732052265</v>
      </c>
      <c r="AF401" t="str">
        <f t="shared" si="322"/>
        <v>1+229,389549340527i</v>
      </c>
      <c r="AG401">
        <f t="shared" si="341"/>
        <v>229.39172902842438</v>
      </c>
      <c r="AH401">
        <f t="shared" si="342"/>
        <v>1.5664369579039954</v>
      </c>
      <c r="AI401" t="str">
        <f t="shared" si="323"/>
        <v>1+12,7438638522515i</v>
      </c>
      <c r="AJ401">
        <f t="shared" si="343"/>
        <v>12.783038210250426</v>
      </c>
      <c r="AK401">
        <f t="shared" si="344"/>
        <v>1.4924876527056097</v>
      </c>
      <c r="AL401" t="str">
        <f t="shared" si="324"/>
        <v>1-0,867110105264316i</v>
      </c>
      <c r="AM401">
        <f t="shared" si="345"/>
        <v>1.3235860133181725</v>
      </c>
      <c r="AN401">
        <f t="shared" si="346"/>
        <v>-0.71434387574408542</v>
      </c>
      <c r="AO401" s="58" t="str">
        <f t="shared" si="347"/>
        <v>1,09391301159821-1,10026521380387i</v>
      </c>
      <c r="AP401">
        <f t="shared" si="348"/>
        <v>3.8151744599634965</v>
      </c>
      <c r="AQ401" s="60">
        <f t="shared" si="349"/>
        <v>-45.16587228694614</v>
      </c>
      <c r="AR401" t="str">
        <f t="shared" si="325"/>
        <v>-1,05811623246493</v>
      </c>
      <c r="AS401" t="str">
        <f t="shared" si="326"/>
        <v>1+12,5603522127791i</v>
      </c>
      <c r="AT401">
        <f t="shared" si="350"/>
        <v>12.600097130937714</v>
      </c>
      <c r="AU401">
        <f t="shared" si="351"/>
        <v>1.4913483064508901</v>
      </c>
      <c r="AV401" t="str">
        <f t="shared" si="327"/>
        <v>1+12,5603522127791i</v>
      </c>
      <c r="AW401">
        <f t="shared" si="352"/>
        <v>12.600097130937714</v>
      </c>
      <c r="AX401">
        <f t="shared" si="353"/>
        <v>1.4913483064508901</v>
      </c>
      <c r="AY401" t="str">
        <f t="shared" si="328"/>
        <v>1-0,00202657895442196i</v>
      </c>
      <c r="AZ401">
        <f t="shared" si="354"/>
        <v>1.0000020535090208</v>
      </c>
      <c r="BA401">
        <f t="shared" si="355"/>
        <v>-2.026576180027172E-3</v>
      </c>
      <c r="BB401" s="58" t="str">
        <f t="shared" si="356"/>
        <v>-0,00649512765524452+0,0837254471048789i</v>
      </c>
      <c r="BC401">
        <f t="shared" si="357"/>
        <v>-21.516792485176147</v>
      </c>
      <c r="BD401" s="60">
        <f t="shared" si="358"/>
        <v>94.43592199440377</v>
      </c>
      <c r="BE401" s="58" t="str">
        <f t="shared" si="359"/>
        <v>0,0096200988225057-0,017042537756109i</v>
      </c>
      <c r="BF401" s="37">
        <f t="shared" si="360"/>
        <v>-34.168075822858633</v>
      </c>
      <c r="BG401" s="60">
        <f t="shared" si="361"/>
        <v>-60.556326915822538</v>
      </c>
      <c r="BH401" s="58" t="str">
        <f t="shared" si="362"/>
        <v>0,0850150923056108+0,0987347190081858i</v>
      </c>
      <c r="BI401" s="37">
        <f t="shared" si="363"/>
        <v>-17.70161802521265</v>
      </c>
      <c r="BJ401" s="60">
        <f t="shared" si="364"/>
        <v>49.270049707457659</v>
      </c>
      <c r="BK401">
        <f t="shared" si="365"/>
        <v>-34.168075822858633</v>
      </c>
      <c r="BL401" s="60">
        <f t="shared" si="366"/>
        <v>-60.556326915822538</v>
      </c>
      <c r="BN401">
        <f t="shared" si="367"/>
        <v>0</v>
      </c>
      <c r="BO401">
        <f t="shared" si="368"/>
        <v>0</v>
      </c>
    </row>
    <row r="402" spans="13:67" x14ac:dyDescent="0.25">
      <c r="M402" s="66">
        <v>84</v>
      </c>
      <c r="N402" s="36">
        <f t="shared" si="369"/>
        <v>69183.097091893651</v>
      </c>
      <c r="O402" s="91" t="str">
        <f t="shared" si="317"/>
        <v>13,7404580152672</v>
      </c>
      <c r="P402" s="67" t="str">
        <f t="shared" si="318"/>
        <v>1+469,465436685202i</v>
      </c>
      <c r="Q402" s="67">
        <f t="shared" si="329"/>
        <v>469.46650172512568</v>
      </c>
      <c r="R402" s="67">
        <f t="shared" si="330"/>
        <v>1.5686662477529802</v>
      </c>
      <c r="S402" s="67" t="str">
        <f t="shared" si="319"/>
        <v>1+13,040706574589i</v>
      </c>
      <c r="T402" s="67">
        <f t="shared" si="331"/>
        <v>13.078991855817051</v>
      </c>
      <c r="U402" s="67">
        <f t="shared" si="332"/>
        <v>1.4942631428977229</v>
      </c>
      <c r="V402" t="str">
        <f t="shared" si="320"/>
        <v>1-2,71681386970603i</v>
      </c>
      <c r="W402" s="67">
        <f t="shared" si="333"/>
        <v>2.8950090850681374</v>
      </c>
      <c r="X402" s="67">
        <f t="shared" si="334"/>
        <v>-1.2181078367736047</v>
      </c>
      <c r="Y402" t="str">
        <f t="shared" si="321"/>
        <v>0,693676740913511+4,71412140974538i</v>
      </c>
      <c r="Z402" s="67">
        <f t="shared" si="335"/>
        <v>4.7648848975294413</v>
      </c>
      <c r="AA402" s="67">
        <f t="shared" si="336"/>
        <v>1.4246961162701792</v>
      </c>
      <c r="AB402" s="92" t="str">
        <f t="shared" si="337"/>
        <v>-0,211946326225082-0,0957664860176188i</v>
      </c>
      <c r="AC402" s="37">
        <f t="shared" si="338"/>
        <v>-12.668632268992518</v>
      </c>
      <c r="AD402" s="60">
        <f t="shared" si="339"/>
        <v>-155.6844964807745</v>
      </c>
      <c r="AE402" t="str">
        <f t="shared" si="340"/>
        <v>21,0353732052265</v>
      </c>
      <c r="AF402" t="str">
        <f t="shared" si="322"/>
        <v>1+234,732718342601i</v>
      </c>
      <c r="AG402">
        <f t="shared" si="341"/>
        <v>234.73484841519985</v>
      </c>
      <c r="AH402">
        <f t="shared" si="342"/>
        <v>1.566536188040234</v>
      </c>
      <c r="AI402" t="str">
        <f t="shared" si="323"/>
        <v>1+13,040706574589i</v>
      </c>
      <c r="AJ402">
        <f t="shared" si="343"/>
        <v>13.078991855817051</v>
      </c>
      <c r="AK402">
        <f t="shared" si="344"/>
        <v>1.4942631428977229</v>
      </c>
      <c r="AL402" t="str">
        <f t="shared" si="324"/>
        <v>1-0,887307694252799i</v>
      </c>
      <c r="AM402">
        <f t="shared" si="345"/>
        <v>1.3369049870055159</v>
      </c>
      <c r="AN402">
        <f t="shared" si="346"/>
        <v>-0.72575835881983752</v>
      </c>
      <c r="AO402" s="58" t="str">
        <f t="shared" si="347"/>
        <v>1,09389595525691-1,12189000157754i</v>
      </c>
      <c r="AP402">
        <f t="shared" si="348"/>
        <v>3.9009493020399382</v>
      </c>
      <c r="AQ402" s="60">
        <f t="shared" si="349"/>
        <v>-45.723831365942424</v>
      </c>
      <c r="AR402" t="str">
        <f t="shared" si="325"/>
        <v>-1,05811623246493</v>
      </c>
      <c r="AS402" t="str">
        <f t="shared" si="326"/>
        <v>1+12,8529203999149i</v>
      </c>
      <c r="AT402">
        <f t="shared" si="350"/>
        <v>12.891763370716536</v>
      </c>
      <c r="AU402">
        <f t="shared" si="351"/>
        <v>1.4931494200986792</v>
      </c>
      <c r="AV402" t="str">
        <f t="shared" si="327"/>
        <v>1+12,8529203999149i</v>
      </c>
      <c r="AW402">
        <f t="shared" si="352"/>
        <v>12.891763370716536</v>
      </c>
      <c r="AX402">
        <f t="shared" si="353"/>
        <v>1.4931494200986792</v>
      </c>
      <c r="AY402" t="str">
        <f t="shared" si="328"/>
        <v>1-0,00198044838546686i</v>
      </c>
      <c r="AZ402">
        <f t="shared" si="354"/>
        <v>1.0000019610859807</v>
      </c>
      <c r="BA402">
        <f t="shared" si="355"/>
        <v>-1.9804457962507046E-3</v>
      </c>
      <c r="BB402" s="58" t="str">
        <f t="shared" si="356"/>
        <v>-0,00620455768012519+0,0818422305635511i</v>
      </c>
      <c r="BC402">
        <f t="shared" si="357"/>
        <v>-21.715561936145264</v>
      </c>
      <c r="BD402" s="60">
        <f t="shared" si="358"/>
        <v>94.335368860259749</v>
      </c>
      <c r="BE402" s="58" t="str">
        <f t="shared" si="359"/>
        <v>0,0091527760350692-0,0167519714116916i</v>
      </c>
      <c r="BF402" s="37">
        <f t="shared" si="360"/>
        <v>-34.38419420513776</v>
      </c>
      <c r="BG402" s="60">
        <f t="shared" si="361"/>
        <v>-61.349127620514814</v>
      </c>
      <c r="BH402" s="58" t="str">
        <f t="shared" si="362"/>
        <v>0,0850308396256046+0,0964877162082156i</v>
      </c>
      <c r="BI402" s="37">
        <f t="shared" si="363"/>
        <v>-17.814612634105323</v>
      </c>
      <c r="BJ402" s="60">
        <f t="shared" si="364"/>
        <v>48.611537494317339</v>
      </c>
      <c r="BK402">
        <f t="shared" si="365"/>
        <v>-34.38419420513776</v>
      </c>
      <c r="BL402" s="60">
        <f t="shared" si="366"/>
        <v>-61.349127620514814</v>
      </c>
      <c r="BN402">
        <f t="shared" si="367"/>
        <v>0</v>
      </c>
      <c r="BO402">
        <f t="shared" si="368"/>
        <v>0</v>
      </c>
    </row>
    <row r="403" spans="13:67" x14ac:dyDescent="0.25">
      <c r="M403" s="66">
        <v>85</v>
      </c>
      <c r="N403" s="36">
        <f t="shared" si="369"/>
        <v>70794.578438413781</v>
      </c>
      <c r="O403" s="91" t="str">
        <f t="shared" ref="O403:O466" si="370">COMPLEX(adc,0)</f>
        <v>13,7404580152672</v>
      </c>
      <c r="P403" s="67" t="str">
        <f t="shared" ref="P403:P466" si="371">IMSUM(COMPLEX(1,0),IMDIV(COMPLEX(0,2*PI()*N403),COMPLEX(wp_lf,0)))</f>
        <v>1+480,400691477991i</v>
      </c>
      <c r="Q403" s="67">
        <f t="shared" si="329"/>
        <v>480.40173227469938</v>
      </c>
      <c r="R403" s="67">
        <f t="shared" si="330"/>
        <v>1.5687147341298646</v>
      </c>
      <c r="S403" s="67" t="str">
        <f t="shared" ref="S403:S466" si="372">IMSUM(COMPLEX(1,0),IMDIV(COMPLEX(0,2*PI()*N403),COMPLEX(wz_esr,0)))</f>
        <v>1+13,3444636521664i</v>
      </c>
      <c r="T403" s="67">
        <f t="shared" si="331"/>
        <v>13.3818799189049</v>
      </c>
      <c r="U403" s="67">
        <f t="shared" si="332"/>
        <v>1.4959986852894627</v>
      </c>
      <c r="V403" t="str">
        <f t="shared" ref="V403:V466" si="373">IMSUB(COMPLEX(1,0),IMDIV(COMPLEX(0,2*PI()*N403),COMPLEX(wz_rhp,0)))</f>
        <v>1-2,78009659420134i</v>
      </c>
      <c r="W403" s="67">
        <f t="shared" si="333"/>
        <v>2.9544774619363556</v>
      </c>
      <c r="X403" s="67">
        <f t="shared" si="334"/>
        <v>-1.2255065895934036</v>
      </c>
      <c r="Y403" t="str">
        <f t="shared" ref="Y403:Y466" si="374">IMSUM(COMPLEX(1,0),IMDIV(COMPLEX(0,2*PI()*N403),COMPLEX(Q*(wsl/2),0)),IMDIV(IMPOWER(COMPLEX(0,2*PI()*N403),2),IMPOWER(COMPLEX(wsl/2,0),2)))</f>
        <v>0,679240170478545+4,82392740335312i</v>
      </c>
      <c r="Z403" s="67">
        <f t="shared" si="335"/>
        <v>4.8715133995518167</v>
      </c>
      <c r="AA403" s="67">
        <f t="shared" si="336"/>
        <v>1.430909509816163</v>
      </c>
      <c r="AB403" s="92" t="str">
        <f t="shared" si="337"/>
        <v>-0,212662592085579-0,0930525688426175i</v>
      </c>
      <c r="AC403" s="37">
        <f t="shared" si="338"/>
        <v>-12.685388939245231</v>
      </c>
      <c r="AD403" s="60">
        <f t="shared" si="339"/>
        <v>-156.36775382819491</v>
      </c>
      <c r="AE403" t="str">
        <f t="shared" si="340"/>
        <v>21,0353732052265</v>
      </c>
      <c r="AF403" t="str">
        <f t="shared" ref="AF403:AF466" si="375">IMSUM(COMPLEX(1,0),IMDIV(COMPLEX(0,2*PI()*N403),COMPLEX(wp_lf_DCM,0)))</f>
        <v>1+240,200345738996i</v>
      </c>
      <c r="AG403">
        <f t="shared" si="341"/>
        <v>240.20242732564802</v>
      </c>
      <c r="AH403">
        <f t="shared" si="342"/>
        <v>1.5666331595038749</v>
      </c>
      <c r="AI403" t="str">
        <f t="shared" ref="AI403:AI466" si="376">IMSUM(COMPLEX(1,0),IMDIV(COMPLEX(0,2*PI()*N403),COMPLEX(wz1_dcm,0)))</f>
        <v>1+13,3444636521664i</v>
      </c>
      <c r="AJ403">
        <f t="shared" si="343"/>
        <v>13.3818799189049</v>
      </c>
      <c r="AK403">
        <f t="shared" si="344"/>
        <v>1.4959986852894627</v>
      </c>
      <c r="AL403" t="str">
        <f t="shared" ref="AL403:AL466" si="377">IMSUB(COMPLEX(1,0),IMDIV(COMPLEX(0,2*PI()*N403),COMPLEX(wz2_dcm,0)))</f>
        <v>1-0,907975745525682i</v>
      </c>
      <c r="AM403">
        <f t="shared" si="345"/>
        <v>1.3507109070644681</v>
      </c>
      <c r="AN403">
        <f t="shared" si="346"/>
        <v>-0.73720415644203019</v>
      </c>
      <c r="AO403" s="58" t="str">
        <f t="shared" si="347"/>
        <v>1,09387966655018-1,14410962373765i</v>
      </c>
      <c r="AP403">
        <f t="shared" si="348"/>
        <v>3.9890473018522119</v>
      </c>
      <c r="AQ403" s="60">
        <f t="shared" si="349"/>
        <v>-46.285744064241939</v>
      </c>
      <c r="AR403" t="str">
        <f t="shared" ref="AR403:AR466" si="378">COMPLEX(adc_ea,0)</f>
        <v>-1,05811623246493</v>
      </c>
      <c r="AS403" t="str">
        <f t="shared" ref="AS403:AS466" si="379">IMSUM(COMPLEX(1,0), IMDIV(COMPLEX(0,2*PI()*N403), COMPLEX(wp0_ea,0)))</f>
        <v>1+13,1523033755752i</v>
      </c>
      <c r="AT403">
        <f t="shared" si="350"/>
        <v>13.190264746515391</v>
      </c>
      <c r="AU403">
        <f t="shared" si="351"/>
        <v>1.4949100232996084</v>
      </c>
      <c r="AV403" t="str">
        <f t="shared" ref="AV403:AV466" si="380">IMSUM(COMPLEX(1,0),IMDIV(COMPLEX(0,2*PI()*N403),COMPLEX(wp1_ea,0)))</f>
        <v>1+13,1523033755752i</v>
      </c>
      <c r="AW403">
        <f t="shared" si="352"/>
        <v>13.190264746515391</v>
      </c>
      <c r="AX403">
        <f t="shared" si="353"/>
        <v>1.4949100232996084</v>
      </c>
      <c r="AY403" t="str">
        <f t="shared" ref="AY403:AY466" si="381">IMSUM(COMPLEX(1,0),IMDIV(COMPLEX(wz_ea,0),COMPLEX(0,2*PI()*N403)))</f>
        <v>1-0,00193536787646006i</v>
      </c>
      <c r="AZ403">
        <f t="shared" si="354"/>
        <v>1.000001872822655</v>
      </c>
      <c r="BA403">
        <f t="shared" si="355"/>
        <v>-1.9353654600626916E-3</v>
      </c>
      <c r="BB403" s="58" t="str">
        <f t="shared" si="356"/>
        <v>-0,00592691163145802+0,0800003840230347i</v>
      </c>
      <c r="BC403">
        <f t="shared" si="357"/>
        <v>-21.914386444946416</v>
      </c>
      <c r="BD403" s="60">
        <f t="shared" si="358"/>
        <v>94.237076640451903</v>
      </c>
      <c r="BE403" s="58" t="str">
        <f t="shared" si="359"/>
        <v>0,0087046736323473-0,0164615746815699i</v>
      </c>
      <c r="BF403" s="37">
        <f t="shared" si="360"/>
        <v>-34.599775384191666</v>
      </c>
      <c r="BG403" s="60">
        <f t="shared" si="361"/>
        <v>-62.130677187742947</v>
      </c>
      <c r="BH403" s="58" t="str">
        <f t="shared" si="362"/>
        <v>0,0850458811443701+0,0942918300355973i</v>
      </c>
      <c r="BI403" s="37">
        <f t="shared" si="363"/>
        <v>-17.925339143094199</v>
      </c>
      <c r="BJ403" s="60">
        <f t="shared" si="364"/>
        <v>47.951332576209957</v>
      </c>
      <c r="BK403">
        <f t="shared" si="365"/>
        <v>-34.599775384191666</v>
      </c>
      <c r="BL403" s="60">
        <f t="shared" si="366"/>
        <v>-62.130677187742947</v>
      </c>
      <c r="BN403">
        <f t="shared" si="367"/>
        <v>0</v>
      </c>
      <c r="BO403">
        <f t="shared" si="368"/>
        <v>0</v>
      </c>
    </row>
    <row r="404" spans="13:67" x14ac:dyDescent="0.25">
      <c r="M404" s="66">
        <v>86</v>
      </c>
      <c r="N404" s="36">
        <f t="shared" si="369"/>
        <v>72443.596007499116</v>
      </c>
      <c r="O404" s="91" t="str">
        <f t="shared" si="370"/>
        <v>13,7404580152672</v>
      </c>
      <c r="P404" s="67" t="str">
        <f t="shared" si="371"/>
        <v>1+491,590661076258i</v>
      </c>
      <c r="Q404" s="67">
        <f t="shared" ref="Q404:Q467" si="382">IMABS(P404)</f>
        <v>491.59167818159045</v>
      </c>
      <c r="R404" s="67">
        <f t="shared" ref="R404:R467" si="383">IMARGUMENT(P404)</f>
        <v>1.5687621168315227</v>
      </c>
      <c r="S404" s="67" t="str">
        <f t="shared" si="372"/>
        <v>1+13,6552961410072i</v>
      </c>
      <c r="T404" s="67">
        <f t="shared" ref="T404:T467" si="384">IMABS(S404)</f>
        <v>13.69186301051125</v>
      </c>
      <c r="U404" s="67">
        <f t="shared" ref="U404:U467" si="385">IMARGUMENT(S404)</f>
        <v>1.4976951582438622</v>
      </c>
      <c r="V404" t="str">
        <f t="shared" si="373"/>
        <v>1-2,84485336270983i</v>
      </c>
      <c r="W404" s="67">
        <f t="shared" ref="W404:W467" si="386">IMABS(V404)</f>
        <v>3.0154917766960381</v>
      </c>
      <c r="X404" s="67">
        <f t="shared" ref="X404:X467" si="387">IMARGUMENT(V404)</f>
        <v>-1.2327751794349029</v>
      </c>
      <c r="Y404" t="str">
        <f t="shared" si="374"/>
        <v>0,664123225440144+4,93629110712235i</v>
      </c>
      <c r="Z404" s="67">
        <f t="shared" ref="Z404:Z467" si="388">IMABS(Y404)</f>
        <v>4.9807659604546979</v>
      </c>
      <c r="AA404" s="67">
        <f t="shared" ref="AA404:AA467" si="389">IMARGUMENT(Y404)</f>
        <v>1.4370604634527671</v>
      </c>
      <c r="AB404" s="92" t="str">
        <f t="shared" ref="AB404:AB467" si="390">(IMDIV(IMPRODUCT(O404,S404,V404),IMPRODUCT(P404,Y404)))</f>
        <v>-0,213345167098591-0,090374475906079i</v>
      </c>
      <c r="AC404" s="37">
        <f t="shared" ref="AC404:AC467" si="391">20*LOG(IMABS(AB404))</f>
        <v>-12.701575089499306</v>
      </c>
      <c r="AD404" s="60">
        <f t="shared" ref="AD404:AD467" si="392">(180/PI())*IMARGUMENT(AB404)</f>
        <v>-157.04215112096418</v>
      </c>
      <c r="AE404" t="str">
        <f t="shared" ref="AE404:AE467" si="393">COMPLEX($B$67,0)</f>
        <v>21,0353732052265</v>
      </c>
      <c r="AF404" t="str">
        <f t="shared" si="375"/>
        <v>1+245,795330538129i</v>
      </c>
      <c r="AG404">
        <f t="shared" ref="AG404:AG467" si="394">IMABS(AF404)</f>
        <v>245.79736474248068</v>
      </c>
      <c r="AH404">
        <f t="shared" ref="AH404:AH467" si="395">IMARGUMENT(AF404)</f>
        <v>1.5667279237031726</v>
      </c>
      <c r="AI404" t="str">
        <f t="shared" si="376"/>
        <v>1+13,6552961410072i</v>
      </c>
      <c r="AJ404">
        <f t="shared" ref="AJ404:AJ467" si="396">IMABS(AI404)</f>
        <v>13.69186301051125</v>
      </c>
      <c r="AK404">
        <f t="shared" ref="AK404:AK467" si="397">IMARGUMENT(AI404)</f>
        <v>1.4976951582438622</v>
      </c>
      <c r="AL404" t="str">
        <f t="shared" si="377"/>
        <v>1-0,929125217557326i</v>
      </c>
      <c r="AM404">
        <f t="shared" ref="AM404:AM467" si="398">IMABS(AL404)</f>
        <v>1.3650178276861253</v>
      </c>
      <c r="AN404">
        <f t="shared" ref="AN404:AN467" si="399">IMARGUMENT(AL404)</f>
        <v>-0.74867534252021861</v>
      </c>
      <c r="AO404" s="58" t="str">
        <f t="shared" ref="AO404:AO467" si="400">(IMDIV(IMPRODUCT(AE404,AI404,AL404),IMPRODUCT(AF404)))</f>
        <v>1,09386411093119-1,16693586185867i</v>
      </c>
      <c r="AP404">
        <f t="shared" ref="AP404:AP467" si="401">20*LOG(IMABS(AO404))</f>
        <v>4.079477359273775</v>
      </c>
      <c r="AQ404" s="60">
        <f t="shared" ref="AQ404:AQ467" si="402">(180/PI())*IMARGUMENT(AO404)</f>
        <v>-46.851223460854754</v>
      </c>
      <c r="AR404" t="str">
        <f t="shared" si="378"/>
        <v>-1,05811623246493</v>
      </c>
      <c r="AS404" t="str">
        <f t="shared" si="379"/>
        <v>1+13,4586598765767i</v>
      </c>
      <c r="AT404">
        <f t="shared" ref="AT404:AT467" si="403">IMABS(AS404)</f>
        <v>13.495759544144803</v>
      </c>
      <c r="AU404">
        <f t="shared" ref="AU404:AU467" si="404">IMARGUMENT(AS404)</f>
        <v>1.4966310058653285</v>
      </c>
      <c r="AV404" t="str">
        <f t="shared" si="380"/>
        <v>1+13,4586598765767i</v>
      </c>
      <c r="AW404">
        <f t="shared" ref="AW404:AW467" si="405">IMABS(AV404)</f>
        <v>13.495759544144803</v>
      </c>
      <c r="AX404">
        <f t="shared" ref="AX404:AX467" si="406">IMARGUMENT(AV404)</f>
        <v>1.4966310058653285</v>
      </c>
      <c r="AY404" t="str">
        <f t="shared" si="381"/>
        <v>1-0,00189131352511897i</v>
      </c>
      <c r="AZ404">
        <f t="shared" ref="AZ404:AZ467" si="407">IMABS(AY404)</f>
        <v>1.0000017885318258</v>
      </c>
      <c r="BA404">
        <f t="shared" ref="BA404:BA467" si="408">IMARGUMENT(AY404)</f>
        <v>-1.8913112700055053E-3</v>
      </c>
      <c r="BB404" s="58" t="str">
        <f t="shared" ref="BB404:BB467" si="409">IMDIV(IMPRODUCT(AR404,AY404), AS404)</f>
        <v>-0,0056616212620633+0,0781990644577137i</v>
      </c>
      <c r="BC404">
        <f t="shared" ref="BC404:BC467" si="410">20*LOG(IMABS(BB404))</f>
        <v>-22.113263562092136</v>
      </c>
      <c r="BD404" s="60">
        <f t="shared" ref="BD404:BD467" si="411">(180/PI())*IMARGUMENT(BB404)</f>
        <v>94.140995721980687</v>
      </c>
      <c r="BE404" s="58" t="str">
        <f t="shared" ref="BE404:BE467" si="412">IMPRODUCT(AB404,BB404)</f>
        <v>0,0082750790009154-0,0161717264193467i</v>
      </c>
      <c r="BF404" s="37">
        <f t="shared" ref="BF404:BF467" si="413">20*LOG(IMABS(BE404))</f>
        <v>-34.814838651591458</v>
      </c>
      <c r="BG404" s="60">
        <f t="shared" ref="BG404:BG467" si="414">(180/PI())*IMARGUMENT(BE404)</f>
        <v>-62.901155398983441</v>
      </c>
      <c r="BH404" s="58" t="str">
        <f t="shared" ref="BH404:BH467" si="415">IMPRODUCT(AO404,BB404)</f>
        <v>0,0850602483712478+0,092145899005651i</v>
      </c>
      <c r="BI404" s="37">
        <f t="shared" ref="BI404:BI467" si="416">20*LOG(IMABS(BH404))</f>
        <v>-18.033786202818366</v>
      </c>
      <c r="BJ404" s="60">
        <f t="shared" ref="BJ404:BJ467" si="417">(180/PI())*IMARGUMENT(BH404)</f>
        <v>47.28977226112594</v>
      </c>
      <c r="BK404">
        <f t="shared" ref="BK404:BK467" si="418">IF($B$19=0,BF404,BI404)</f>
        <v>-34.814838651591458</v>
      </c>
      <c r="BL404" s="60">
        <f t="shared" ref="BL404:BL467" si="419">IF($B$19=0,BG404,BJ404)</f>
        <v>-62.901155398983441</v>
      </c>
      <c r="BN404">
        <f t="shared" si="367"/>
        <v>0</v>
      </c>
      <c r="BO404">
        <f t="shared" si="368"/>
        <v>0</v>
      </c>
    </row>
    <row r="405" spans="13:67" x14ac:dyDescent="0.25">
      <c r="M405" s="66">
        <v>87</v>
      </c>
      <c r="N405" s="36">
        <f t="shared" si="369"/>
        <v>74131.024130091857</v>
      </c>
      <c r="O405" s="91" t="str">
        <f t="shared" si="370"/>
        <v>13,7404580152672</v>
      </c>
      <c r="P405" s="67" t="str">
        <f t="shared" si="371"/>
        <v>1+503,041278549998i</v>
      </c>
      <c r="Q405" s="67">
        <f t="shared" si="382"/>
        <v>503.04227250323282</v>
      </c>
      <c r="R405" s="67">
        <f t="shared" si="383"/>
        <v>1.5688084209800386</v>
      </c>
      <c r="S405" s="67" t="str">
        <f t="shared" si="372"/>
        <v>1+13,9733688486111i</v>
      </c>
      <c r="T405" s="67">
        <f t="shared" si="384"/>
        <v>14.009105502469996</v>
      </c>
      <c r="U405" s="67">
        <f t="shared" si="385"/>
        <v>1.4993534221715876</v>
      </c>
      <c r="V405" t="str">
        <f t="shared" si="373"/>
        <v>1-2,91111851012731i</v>
      </c>
      <c r="W405" s="67">
        <f t="shared" si="386"/>
        <v>3.0780856030990833</v>
      </c>
      <c r="X405" s="67">
        <f t="shared" si="387"/>
        <v>-1.2399143871114893</v>
      </c>
      <c r="Y405" t="str">
        <f t="shared" si="374"/>
        <v>0,648293840731118+5,05127209777611i</v>
      </c>
      <c r="Z405" s="67">
        <f t="shared" si="388"/>
        <v>5.0927040665741981</v>
      </c>
      <c r="AA405" s="67">
        <f t="shared" si="389"/>
        <v>1.4431514352138475</v>
      </c>
      <c r="AB405" s="92" t="str">
        <f t="shared" si="390"/>
        <v>-0,213995133483735-0,0877316559646074i</v>
      </c>
      <c r="AC405" s="37">
        <f t="shared" si="391"/>
        <v>-12.717212266014089</v>
      </c>
      <c r="AD405" s="60">
        <f t="shared" si="392"/>
        <v>-157.70782607284977</v>
      </c>
      <c r="AE405" t="str">
        <f t="shared" si="393"/>
        <v>21,0353732052265</v>
      </c>
      <c r="AF405" t="str">
        <f t="shared" si="375"/>
        <v>1+251,520639275i</v>
      </c>
      <c r="AG405">
        <f t="shared" si="394"/>
        <v>251.52262717557775</v>
      </c>
      <c r="AH405">
        <f t="shared" si="395"/>
        <v>1.5668205308765477</v>
      </c>
      <c r="AI405" t="str">
        <f t="shared" si="376"/>
        <v>1+13,9733688486111i</v>
      </c>
      <c r="AJ405">
        <f t="shared" si="396"/>
        <v>14.009105502469996</v>
      </c>
      <c r="AK405">
        <f t="shared" si="397"/>
        <v>1.4993534221715876</v>
      </c>
      <c r="AL405" t="str">
        <f t="shared" si="377"/>
        <v>1-0,950767324077744i</v>
      </c>
      <c r="AM405">
        <f t="shared" si="398"/>
        <v>1.3798400286025747</v>
      </c>
      <c r="AN405">
        <f t="shared" si="399"/>
        <v>-0.76016592446448183</v>
      </c>
      <c r="AO405" s="58" t="str">
        <f t="shared" si="400"/>
        <v>1,09384925540772-1,19038081912169i</v>
      </c>
      <c r="AP405">
        <f t="shared" si="401"/>
        <v>4.1722461285297623</v>
      </c>
      <c r="AQ405" s="60">
        <f t="shared" si="402"/>
        <v>-47.419879786219923</v>
      </c>
      <c r="AR405" t="str">
        <f t="shared" si="378"/>
        <v>-1,05811623246493</v>
      </c>
      <c r="AS405" t="str">
        <f t="shared" si="379"/>
        <v>1+13,7721523371911i</v>
      </c>
      <c r="AT405">
        <f t="shared" si="403"/>
        <v>13.808409756333212</v>
      </c>
      <c r="AU405">
        <f t="shared" si="404"/>
        <v>1.4983132394833645</v>
      </c>
      <c r="AV405" t="str">
        <f t="shared" si="380"/>
        <v>1+13,7721523371911i</v>
      </c>
      <c r="AW405">
        <f t="shared" si="405"/>
        <v>13.808409756333212</v>
      </c>
      <c r="AX405">
        <f t="shared" si="406"/>
        <v>1.4983132394833645</v>
      </c>
      <c r="AY405" t="str">
        <f t="shared" si="381"/>
        <v>1-0,0018482619732434i</v>
      </c>
      <c r="AZ405">
        <f t="shared" si="407"/>
        <v>1.0000017080347021</v>
      </c>
      <c r="BA405">
        <f t="shared" si="408"/>
        <v>-1.8482598686488569E-3</v>
      </c>
      <c r="BB405" s="58" t="str">
        <f t="shared" si="409"/>
        <v>-0,00540814273343892+0,0764374415819304i</v>
      </c>
      <c r="BC405">
        <f t="shared" si="410"/>
        <v>-22.312190945850755</v>
      </c>
      <c r="BD405" s="60">
        <f t="shared" si="411"/>
        <v>94.047077499112063</v>
      </c>
      <c r="BE405" s="58" t="str">
        <f t="shared" si="412"/>
        <v>0,00786329955382205-0,0158827751967828i</v>
      </c>
      <c r="BF405" s="37">
        <f t="shared" si="413"/>
        <v>-35.029403211864867</v>
      </c>
      <c r="BG405" s="60">
        <f t="shared" si="414"/>
        <v>-63.660748573737628</v>
      </c>
      <c r="BH405" s="58" t="str">
        <f t="shared" si="415"/>
        <v>0,0850739714197538+0,0900487879366237i</v>
      </c>
      <c r="BI405" s="37">
        <f t="shared" si="416"/>
        <v>-18.139944817320995</v>
      </c>
      <c r="BJ405" s="60">
        <f t="shared" si="417"/>
        <v>46.627197712892148</v>
      </c>
      <c r="BK405">
        <f t="shared" si="418"/>
        <v>-35.029403211864867</v>
      </c>
      <c r="BL405" s="60">
        <f t="shared" si="419"/>
        <v>-63.660748573737628</v>
      </c>
      <c r="BN405">
        <f t="shared" ref="BN405:BN468" si="420">SUM((BK406&lt;0)*(BK405&gt;0))*N405</f>
        <v>0</v>
      </c>
      <c r="BO405">
        <f t="shared" ref="BO405:BO468" si="421">IF(BN405&gt;0,BL405,0)</f>
        <v>0</v>
      </c>
    </row>
    <row r="406" spans="13:67" x14ac:dyDescent="0.25">
      <c r="M406" s="66">
        <v>88</v>
      </c>
      <c r="N406" s="36">
        <f t="shared" si="369"/>
        <v>75857.757502918481</v>
      </c>
      <c r="O406" s="91" t="str">
        <f t="shared" si="370"/>
        <v>13,7404580152672</v>
      </c>
      <c r="P406" s="67" t="str">
        <f t="shared" si="371"/>
        <v>1+514,758615168163i</v>
      </c>
      <c r="Q406" s="67">
        <f t="shared" si="382"/>
        <v>514.75958649630309</v>
      </c>
      <c r="R406" s="67">
        <f t="shared" si="383"/>
        <v>1.5688536711256902</v>
      </c>
      <c r="S406" s="67" t="str">
        <f t="shared" si="372"/>
        <v>1+14,2988504213379i</v>
      </c>
      <c r="T406" s="67">
        <f t="shared" si="384"/>
        <v>14.333775614673023</v>
      </c>
      <c r="U406" s="67">
        <f t="shared" si="385"/>
        <v>1.5009743198059937</v>
      </c>
      <c r="V406" t="str">
        <f t="shared" si="373"/>
        <v>1-2,97892717111206i</v>
      </c>
      <c r="W406" s="67">
        <f t="shared" si="386"/>
        <v>3.1422932852917627</v>
      </c>
      <c r="X406" s="67">
        <f t="shared" si="387"/>
        <v>-1.2469250860100818</v>
      </c>
      <c r="Y406" t="str">
        <f t="shared" si="374"/>
        <v>0,631718440104218+5,16893133975759i</v>
      </c>
      <c r="Z406" s="67">
        <f t="shared" si="388"/>
        <v>5.2073908421296649</v>
      </c>
      <c r="AA406" s="67">
        <f t="shared" si="389"/>
        <v>1.4491848966867311</v>
      </c>
      <c r="AB406" s="92" t="str">
        <f t="shared" si="390"/>
        <v>-0,214613534471445-0,085123528920433i</v>
      </c>
      <c r="AC406" s="37">
        <f t="shared" si="391"/>
        <v>-12.732321797855558</v>
      </c>
      <c r="AD406" s="60">
        <f t="shared" si="392"/>
        <v>-158.36492345832119</v>
      </c>
      <c r="AE406" t="str">
        <f t="shared" si="393"/>
        <v>21,0353732052265</v>
      </c>
      <c r="AF406" t="str">
        <f t="shared" si="375"/>
        <v>1+257,379307584082i</v>
      </c>
      <c r="AG406">
        <f t="shared" si="394"/>
        <v>257.38125023486367</v>
      </c>
      <c r="AH406">
        <f t="shared" si="395"/>
        <v>1.5669110301191922</v>
      </c>
      <c r="AI406" t="str">
        <f t="shared" si="376"/>
        <v>1+14,2988504213379i</v>
      </c>
      <c r="AJ406">
        <f t="shared" si="396"/>
        <v>14.333775614673023</v>
      </c>
      <c r="AK406">
        <f t="shared" si="397"/>
        <v>1.5009743198059937</v>
      </c>
      <c r="AL406" t="str">
        <f t="shared" si="377"/>
        <v>1-0,972913540018278i</v>
      </c>
      <c r="AM406">
        <f t="shared" si="398"/>
        <v>1.3951920141510621</v>
      </c>
      <c r="AN406">
        <f t="shared" si="399"/>
        <v>-0.77166985864298421</v>
      </c>
      <c r="AO406" s="58" t="str">
        <f t="shared" si="400"/>
        <v>1,09383506847228-1,2144569267337i</v>
      </c>
      <c r="AP406">
        <f t="shared" si="401"/>
        <v>4.2673579762999472</v>
      </c>
      <c r="AQ406" s="60">
        <f t="shared" si="402"/>
        <v>-47.991321293623095</v>
      </c>
      <c r="AR406" t="str">
        <f t="shared" si="378"/>
        <v>-1,05811623246493</v>
      </c>
      <c r="AS406" t="str">
        <f t="shared" si="379"/>
        <v>1+14,0929469752706i</v>
      </c>
      <c r="AT406">
        <f t="shared" si="403"/>
        <v>14.128381168689806</v>
      </c>
      <c r="AU406">
        <f t="shared" si="404"/>
        <v>1.4999575779903502</v>
      </c>
      <c r="AV406" t="str">
        <f t="shared" si="380"/>
        <v>1+14,0929469752706i</v>
      </c>
      <c r="AW406">
        <f t="shared" si="405"/>
        <v>14.128381168689806</v>
      </c>
      <c r="AX406">
        <f t="shared" si="406"/>
        <v>1.4999575779903502</v>
      </c>
      <c r="AY406" t="str">
        <f t="shared" si="381"/>
        <v>1-0,00180619039433068i</v>
      </c>
      <c r="AZ406">
        <f t="shared" si="407"/>
        <v>1.00000163116054</v>
      </c>
      <c r="BA406">
        <f t="shared" si="408"/>
        <v>-1.8061884302085899E-3</v>
      </c>
      <c r="BB406" s="58" t="str">
        <f t="shared" si="409"/>
        <v>-0,00516595561797214+0,0747146979758462i</v>
      </c>
      <c r="BC406">
        <f t="shared" si="410"/>
        <v>-22.511166357613376</v>
      </c>
      <c r="BD406" s="60">
        <f t="shared" si="411"/>
        <v>93.955274358431609</v>
      </c>
      <c r="BE406" s="58" t="str">
        <f t="shared" si="412"/>
        <v>0,00746866274802398-0,0155950410371147i</v>
      </c>
      <c r="BF406" s="37">
        <f t="shared" si="413"/>
        <v>-35.243488155468953</v>
      </c>
      <c r="BG406" s="60">
        <f t="shared" si="414"/>
        <v>-64.409649099889521</v>
      </c>
      <c r="BH406" s="58" t="str">
        <f t="shared" si="415"/>
        <v>0,0850870790684735+0,0879993873597406i</v>
      </c>
      <c r="BI406" s="37">
        <f t="shared" si="416"/>
        <v>-18.243808381313425</v>
      </c>
      <c r="BJ406" s="60">
        <f t="shared" si="417"/>
        <v>45.9639530648085</v>
      </c>
      <c r="BK406">
        <f t="shared" si="418"/>
        <v>-35.243488155468953</v>
      </c>
      <c r="BL406" s="60">
        <f t="shared" si="419"/>
        <v>-64.409649099889521</v>
      </c>
      <c r="BN406">
        <f t="shared" si="420"/>
        <v>0</v>
      </c>
      <c r="BO406">
        <f t="shared" si="421"/>
        <v>0</v>
      </c>
    </row>
    <row r="407" spans="13:67" x14ac:dyDescent="0.25">
      <c r="M407" s="66">
        <v>89</v>
      </c>
      <c r="N407" s="36">
        <f t="shared" si="369"/>
        <v>77624.711662869129</v>
      </c>
      <c r="O407" s="91" t="str">
        <f t="shared" si="370"/>
        <v>13,7404580152672</v>
      </c>
      <c r="P407" s="67" t="str">
        <f t="shared" si="371"/>
        <v>1+526,748883617726i</v>
      </c>
      <c r="Q407" s="67">
        <f t="shared" si="382"/>
        <v>526.74983283577865</v>
      </c>
      <c r="R407" s="67">
        <f t="shared" si="383"/>
        <v>1.5688978912599616</v>
      </c>
      <c r="S407" s="67" t="str">
        <f t="shared" si="372"/>
        <v>1+14,6319134338257i</v>
      </c>
      <c r="T407" s="67">
        <f t="shared" si="384"/>
        <v>14.666045504326277</v>
      </c>
      <c r="U407" s="67">
        <f t="shared" si="385"/>
        <v>1.5025586764805432</v>
      </c>
      <c r="V407" t="str">
        <f t="shared" si="373"/>
        <v>1-3,04831529871369i</v>
      </c>
      <c r="W407" s="67">
        <f t="shared" si="386"/>
        <v>3.2081499591465374</v>
      </c>
      <c r="X407" s="67">
        <f t="shared" si="387"/>
        <v>-1.2538082357890967</v>
      </c>
      <c r="Y407" t="str">
        <f t="shared" si="374"/>
        <v>0,614361864912411+5,2893312175543i</v>
      </c>
      <c r="Z407" s="67">
        <f t="shared" si="388"/>
        <v>5.3248911002999026</v>
      </c>
      <c r="AA407" s="67">
        <f t="shared" si="389"/>
        <v>1.4551633314123498</v>
      </c>
      <c r="AB407" s="92" t="str">
        <f t="shared" si="390"/>
        <v>-0,215201374215735-0,0825494881375964i</v>
      </c>
      <c r="AC407" s="37">
        <f t="shared" si="391"/>
        <v>-12.746924777698638</v>
      </c>
      <c r="AD407" s="60">
        <f t="shared" si="392"/>
        <v>-159.01359464465571</v>
      </c>
      <c r="AE407" t="str">
        <f t="shared" si="393"/>
        <v>21,0353732052265</v>
      </c>
      <c r="AF407" t="str">
        <f t="shared" si="375"/>
        <v>1+263,374441808863i</v>
      </c>
      <c r="AG407">
        <f t="shared" si="394"/>
        <v>263.37634023983662</v>
      </c>
      <c r="AH407">
        <f t="shared" si="395"/>
        <v>1.5669994694090696</v>
      </c>
      <c r="AI407" t="str">
        <f t="shared" si="376"/>
        <v>1+14,6319134338257i</v>
      </c>
      <c r="AJ407">
        <f t="shared" si="396"/>
        <v>14.666045504326277</v>
      </c>
      <c r="AK407">
        <f t="shared" si="397"/>
        <v>1.5025586764805432</v>
      </c>
      <c r="AL407" t="str">
        <f t="shared" si="377"/>
        <v>1-0,995575607595764i</v>
      </c>
      <c r="AM407">
        <f t="shared" si="398"/>
        <v>1.4110885126170061</v>
      </c>
      <c r="AN407">
        <f t="shared" si="399"/>
        <v>-0.78318106616595462</v>
      </c>
      <c r="AO407" s="58" t="str">
        <f t="shared" si="400"/>
        <v>1,09382152003528-1,23917695052056i</v>
      </c>
      <c r="AP407">
        <f t="shared" si="401"/>
        <v>4.3648149498709836</v>
      </c>
      <c r="AQ407" s="60">
        <f t="shared" si="402"/>
        <v>-48.565155149146221</v>
      </c>
      <c r="AR407" t="str">
        <f t="shared" si="378"/>
        <v>-1,05811623246493</v>
      </c>
      <c r="AS407" t="str">
        <f t="shared" si="379"/>
        <v>1+14,4212138803786i</v>
      </c>
      <c r="AT407">
        <f t="shared" si="403"/>
        <v>14.455843447672795</v>
      </c>
      <c r="AU407">
        <f t="shared" si="404"/>
        <v>1.5015648576480294</v>
      </c>
      <c r="AV407" t="str">
        <f t="shared" si="380"/>
        <v>1+14,4212138803786i</v>
      </c>
      <c r="AW407">
        <f t="shared" si="405"/>
        <v>14.455843447672795</v>
      </c>
      <c r="AX407">
        <f t="shared" si="406"/>
        <v>1.5015648576480294</v>
      </c>
      <c r="AY407" t="str">
        <f t="shared" si="381"/>
        <v>1-0,0017650764814728i</v>
      </c>
      <c r="AZ407">
        <f t="shared" si="407"/>
        <v>1.0000015577462795</v>
      </c>
      <c r="BA407">
        <f t="shared" si="408"/>
        <v>-1.7650746484472507E-3</v>
      </c>
      <c r="BB407" s="58" t="str">
        <f t="shared" si="409"/>
        <v>-0,00493456193743047+0,0730300291822487i</v>
      </c>
      <c r="BC407">
        <f t="shared" si="410"/>
        <v>-22.710187657450117</v>
      </c>
      <c r="BD407" s="60">
        <f t="shared" si="411"/>
        <v>93.865539663724093</v>
      </c>
      <c r="BE407" s="58" t="str">
        <f t="shared" si="412"/>
        <v>0,00709051603775605-0,015308817076917i</v>
      </c>
      <c r="BF407" s="37">
        <f t="shared" si="413"/>
        <v>-35.457112435148758</v>
      </c>
      <c r="BG407" s="60">
        <f t="shared" si="414"/>
        <v>-65.148054980931633</v>
      </c>
      <c r="BH407" s="58" t="str">
        <f t="shared" si="415"/>
        <v>0,085099598819378+0,0859966129421281i</v>
      </c>
      <c r="BI407" s="37">
        <f t="shared" si="416"/>
        <v>-18.345372707579134</v>
      </c>
      <c r="BJ407" s="60">
        <f t="shared" si="417"/>
        <v>45.300384514577914</v>
      </c>
      <c r="BK407">
        <f t="shared" si="418"/>
        <v>-35.457112435148758</v>
      </c>
      <c r="BL407" s="60">
        <f t="shared" si="419"/>
        <v>-65.148054980931633</v>
      </c>
      <c r="BN407">
        <f t="shared" si="420"/>
        <v>0</v>
      </c>
      <c r="BO407">
        <f t="shared" si="421"/>
        <v>0</v>
      </c>
    </row>
    <row r="408" spans="13:67" x14ac:dyDescent="0.25">
      <c r="M408" s="66">
        <v>90</v>
      </c>
      <c r="N408" s="36">
        <f t="shared" si="369"/>
        <v>79432.823472428237</v>
      </c>
      <c r="O408" s="91" t="str">
        <f t="shared" si="370"/>
        <v>13,7404580152672</v>
      </c>
      <c r="P408" s="67" t="str">
        <f t="shared" si="371"/>
        <v>1+539,018441297731i</v>
      </c>
      <c r="Q408" s="67">
        <f t="shared" si="382"/>
        <v>539.01936890898037</v>
      </c>
      <c r="R408" s="67">
        <f t="shared" si="383"/>
        <v>1.5689411048282618</v>
      </c>
      <c r="S408" s="67" t="str">
        <f t="shared" si="372"/>
        <v>1+14,9727344804925i</v>
      </c>
      <c r="T408" s="67">
        <f t="shared" si="384"/>
        <v>15.006091357289847</v>
      </c>
      <c r="U408" s="67">
        <f t="shared" si="385"/>
        <v>1.5041073004079979</v>
      </c>
      <c r="V408" t="str">
        <f t="shared" si="373"/>
        <v>1-3,11931968343594i</v>
      </c>
      <c r="W408" s="67">
        <f t="shared" si="386"/>
        <v>3.2756915739231145</v>
      </c>
      <c r="X408" s="67">
        <f t="shared" si="387"/>
        <v>-1.2605648762400408</v>
      </c>
      <c r="Y408" t="str">
        <f t="shared" si="374"/>
        <v>0,596187299532675+5,41253556877516i</v>
      </c>
      <c r="Z408" s="67">
        <f t="shared" si="388"/>
        <v>5.4452713963015933</v>
      </c>
      <c r="AA408" s="67">
        <f t="shared" si="389"/>
        <v>1.4610892334239327</v>
      </c>
      <c r="AB408" s="92" t="str">
        <f t="shared" si="390"/>
        <v>-0,215759617795068-0,0800089026547915i</v>
      </c>
      <c r="AC408" s="37">
        <f t="shared" si="391"/>
        <v>-12.761042045682995</v>
      </c>
      <c r="AD408" s="60">
        <f t="shared" si="392"/>
        <v>-159.65399714123913</v>
      </c>
      <c r="AE408" t="str">
        <f t="shared" si="393"/>
        <v>21,0353732052265</v>
      </c>
      <c r="AF408" t="str">
        <f t="shared" si="375"/>
        <v>1+269,509220648866i</v>
      </c>
      <c r="AG408">
        <f t="shared" si="394"/>
        <v>269.51107586657577</v>
      </c>
      <c r="AH408">
        <f t="shared" si="395"/>
        <v>1.5670858956323248</v>
      </c>
      <c r="AI408" t="str">
        <f t="shared" si="376"/>
        <v>1+14,9727344804925i</v>
      </c>
      <c r="AJ408">
        <f t="shared" si="396"/>
        <v>15.006091357289847</v>
      </c>
      <c r="AK408">
        <f t="shared" si="397"/>
        <v>1.5041073004079979</v>
      </c>
      <c r="AL408" t="str">
        <f t="shared" si="377"/>
        <v>1-1,0187655425384i</v>
      </c>
      <c r="AM408">
        <f t="shared" si="398"/>
        <v>1.4275444758968319</v>
      </c>
      <c r="AN408">
        <f t="shared" si="399"/>
        <v>-0.7946934488962667</v>
      </c>
      <c r="AO408" s="58" t="str">
        <f t="shared" si="400"/>
        <v>1,09380858136121-1,26455399769737i</v>
      </c>
      <c r="AP408">
        <f t="shared" si="401"/>
        <v>4.4646167555778957</v>
      </c>
      <c r="AQ408" s="60">
        <f t="shared" si="402"/>
        <v>-49.140988334468069</v>
      </c>
      <c r="AR408" t="str">
        <f t="shared" si="378"/>
        <v>-1,05811623246493</v>
      </c>
      <c r="AS408" t="str">
        <f t="shared" si="379"/>
        <v>1+14,7571271039734i</v>
      </c>
      <c r="AT408">
        <f t="shared" si="403"/>
        <v>14.790970230611187</v>
      </c>
      <c r="AU408">
        <f t="shared" si="404"/>
        <v>1.5031358974213975</v>
      </c>
      <c r="AV408" t="str">
        <f t="shared" si="380"/>
        <v>1+14,7571271039734i</v>
      </c>
      <c r="AW408">
        <f t="shared" si="405"/>
        <v>14.790970230611187</v>
      </c>
      <c r="AX408">
        <f t="shared" si="406"/>
        <v>1.5031358974213975</v>
      </c>
      <c r="AY408" t="str">
        <f t="shared" si="381"/>
        <v>1-0,00172489843552894i</v>
      </c>
      <c r="AZ408">
        <f t="shared" si="407"/>
        <v>1.0000014876362</v>
      </c>
      <c r="BA408">
        <f t="shared" si="408"/>
        <v>-1.7248967248498189E-3</v>
      </c>
      <c r="BB408" s="58" t="str">
        <f t="shared" si="409"/>
        <v>-0,00471348523682689+0,0713826437765432i</v>
      </c>
      <c r="BC408">
        <f t="shared" si="410"/>
        <v>-22.909252799849344</v>
      </c>
      <c r="BD408" s="60">
        <f t="shared" si="411"/>
        <v>93.777827740714642</v>
      </c>
      <c r="BE408" s="58" t="str">
        <f t="shared" si="412"/>
        <v>0,00672822677033957-0,0150243711569504i</v>
      </c>
      <c r="BF408" s="37">
        <f t="shared" si="413"/>
        <v>-35.670294845532325</v>
      </c>
      <c r="BG408" s="60">
        <f t="shared" si="414"/>
        <v>-65.876169400524532</v>
      </c>
      <c r="BH408" s="58" t="str">
        <f t="shared" si="415"/>
        <v>0,0851115569536744+0,0840394049223503i</v>
      </c>
      <c r="BI408" s="37">
        <f t="shared" si="416"/>
        <v>-18.444636044271444</v>
      </c>
      <c r="BJ408" s="60">
        <f t="shared" si="417"/>
        <v>44.63683940624658</v>
      </c>
      <c r="BK408">
        <f t="shared" si="418"/>
        <v>-35.670294845532325</v>
      </c>
      <c r="BL408" s="60">
        <f t="shared" si="419"/>
        <v>-65.876169400524532</v>
      </c>
      <c r="BN408">
        <f t="shared" si="420"/>
        <v>0</v>
      </c>
      <c r="BO408">
        <f t="shared" si="421"/>
        <v>0</v>
      </c>
    </row>
    <row r="409" spans="13:67" x14ac:dyDescent="0.25">
      <c r="M409" s="66">
        <v>91</v>
      </c>
      <c r="N409" s="36">
        <f t="shared" si="369"/>
        <v>81283.051616410012</v>
      </c>
      <c r="O409" s="91" t="str">
        <f t="shared" si="370"/>
        <v>13,7404580152672</v>
      </c>
      <c r="P409" s="67" t="str">
        <f t="shared" si="371"/>
        <v>1+551,573793690063i</v>
      </c>
      <c r="Q409" s="67">
        <f t="shared" si="382"/>
        <v>551.57470018633751</v>
      </c>
      <c r="R409" s="67">
        <f t="shared" si="383"/>
        <v>1.5689833347423501</v>
      </c>
      <c r="S409" s="67" t="str">
        <f t="shared" si="372"/>
        <v>1+15,3214942691684i</v>
      </c>
      <c r="T409" s="67">
        <f t="shared" si="384"/>
        <v>15.354093481549477</v>
      </c>
      <c r="U409" s="67">
        <f t="shared" si="385"/>
        <v>1.5056209829608229</v>
      </c>
      <c r="V409" t="str">
        <f t="shared" si="373"/>
        <v>1-3,19197797274342i</v>
      </c>
      <c r="W409" s="67">
        <f t="shared" si="386"/>
        <v>3.3449549142670358</v>
      </c>
      <c r="X409" s="67">
        <f t="shared" si="387"/>
        <v>-1.2671961213256184</v>
      </c>
      <c r="Y409" t="str">
        <f t="shared" si="374"/>
        <v>0,577156193275138+5,53860971799794i</v>
      </c>
      <c r="Z409" s="67">
        <f t="shared" si="388"/>
        <v>5.5686000825824324</v>
      </c>
      <c r="AA409" s="67">
        <f t="shared" si="389"/>
        <v>1.4669651059171944</v>
      </c>
      <c r="AB409" s="92" t="str">
        <f t="shared" si="390"/>
        <v>-0,216289191290883-0,0775011192964098i</v>
      </c>
      <c r="AC409" s="37">
        <f t="shared" si="391"/>
        <v>-12.774694176176196</v>
      </c>
      <c r="AD409" s="60">
        <f t="shared" si="392"/>
        <v>-160.28629416642752</v>
      </c>
      <c r="AE409" t="str">
        <f t="shared" si="393"/>
        <v>21,0353732052265</v>
      </c>
      <c r="AF409" t="str">
        <f t="shared" si="375"/>
        <v>1+275,786896845032i</v>
      </c>
      <c r="AG409">
        <f t="shared" si="394"/>
        <v>275.7887098331118</v>
      </c>
      <c r="AH409">
        <f t="shared" si="395"/>
        <v>1.5671703546081179</v>
      </c>
      <c r="AI409" t="str">
        <f t="shared" si="376"/>
        <v>1+15,3214942691684i</v>
      </c>
      <c r="AJ409">
        <f t="shared" si="396"/>
        <v>15.354093481549477</v>
      </c>
      <c r="AK409">
        <f t="shared" si="397"/>
        <v>1.5056209829608229</v>
      </c>
      <c r="AL409" t="str">
        <f t="shared" si="377"/>
        <v>1-1,04249564045665i</v>
      </c>
      <c r="AM409">
        <f t="shared" si="398"/>
        <v>1.4445750795203138</v>
      </c>
      <c r="AN409">
        <f t="shared" si="399"/>
        <v>-0.80620090558412161</v>
      </c>
      <c r="AO409" s="58" t="str">
        <f t="shared" si="400"/>
        <v>1,09379622500772-1,29060152381956i</v>
      </c>
      <c r="AP409">
        <f t="shared" si="401"/>
        <v>4.5667607476833396</v>
      </c>
      <c r="AQ409" s="60">
        <f t="shared" si="402"/>
        <v>-49.718428556667206</v>
      </c>
      <c r="AR409" t="str">
        <f t="shared" si="378"/>
        <v>-1,05811623246493</v>
      </c>
      <c r="AS409" t="str">
        <f t="shared" si="379"/>
        <v>1+15,1008647516924i</v>
      </c>
      <c r="AT409">
        <f t="shared" si="403"/>
        <v>15.133939217827789</v>
      </c>
      <c r="AU409">
        <f t="shared" si="404"/>
        <v>1.5046714992584036</v>
      </c>
      <c r="AV409" t="str">
        <f t="shared" si="380"/>
        <v>1+15,1008647516924i</v>
      </c>
      <c r="AW409">
        <f t="shared" si="405"/>
        <v>15.133939217827789</v>
      </c>
      <c r="AX409">
        <f t="shared" si="406"/>
        <v>1.5046714992584036</v>
      </c>
      <c r="AY409" t="str">
        <f t="shared" si="381"/>
        <v>1-0,00168563495356732i</v>
      </c>
      <c r="AZ409">
        <f t="shared" si="407"/>
        <v>1.0000014206815893</v>
      </c>
      <c r="BA409">
        <f t="shared" si="408"/>
        <v>-1.6856333570685446E-3</v>
      </c>
      <c r="BB409" s="58" t="str">
        <f t="shared" si="409"/>
        <v>-0,00450226969273622+0,0697717634120332i</v>
      </c>
      <c r="BC409">
        <f t="shared" si="410"/>
        <v>-23.108359829633031</v>
      </c>
      <c r="BD409" s="60">
        <f t="shared" si="411"/>
        <v>93.692093861705004</v>
      </c>
      <c r="BE409" s="58" t="str">
        <f t="shared" si="412"/>
        <v>0,00638118203053224-0,0147419473427661i</v>
      </c>
      <c r="BF409" s="37">
        <f t="shared" si="413"/>
        <v>-35.883054005809235</v>
      </c>
      <c r="BG409" s="60">
        <f t="shared" si="414"/>
        <v>-66.594200304722463</v>
      </c>
      <c r="BH409" s="58" t="str">
        <f t="shared" si="415"/>
        <v>0,0851229785852663+0,0821267275583057i</v>
      </c>
      <c r="BI409" s="37">
        <f t="shared" si="416"/>
        <v>-18.541599081949691</v>
      </c>
      <c r="BJ409" s="60">
        <f t="shared" si="417"/>
        <v>43.973665305037834</v>
      </c>
      <c r="BK409">
        <f t="shared" si="418"/>
        <v>-35.883054005809235</v>
      </c>
      <c r="BL409" s="60">
        <f t="shared" si="419"/>
        <v>-66.594200304722463</v>
      </c>
      <c r="BN409">
        <f t="shared" si="420"/>
        <v>0</v>
      </c>
      <c r="BO409">
        <f t="shared" si="421"/>
        <v>0</v>
      </c>
    </row>
    <row r="410" spans="13:67" x14ac:dyDescent="0.25">
      <c r="M410" s="66">
        <v>92</v>
      </c>
      <c r="N410" s="36">
        <f t="shared" si="369"/>
        <v>83176.377110267174</v>
      </c>
      <c r="O410" s="91" t="str">
        <f t="shared" si="370"/>
        <v>13,7404580152672</v>
      </c>
      <c r="P410" s="67" t="str">
        <f t="shared" si="371"/>
        <v>1+564,421597808752i</v>
      </c>
      <c r="Q410" s="67">
        <f t="shared" si="382"/>
        <v>564.42248367068498</v>
      </c>
      <c r="R410" s="67">
        <f t="shared" si="383"/>
        <v>1.5690246033924835</v>
      </c>
      <c r="S410" s="67" t="str">
        <f t="shared" si="372"/>
        <v>1+15,6783777169098i</v>
      </c>
      <c r="T410" s="67">
        <f t="shared" si="384"/>
        <v>15.71023640287102</v>
      </c>
      <c r="U410" s="67">
        <f t="shared" si="385"/>
        <v>1.5071004989523045</v>
      </c>
      <c r="V410" t="str">
        <f t="shared" si="373"/>
        <v>1-3,26632869102287i</v>
      </c>
      <c r="W410" s="67">
        <f t="shared" si="386"/>
        <v>3.4159776225553902</v>
      </c>
      <c r="X410" s="67">
        <f t="shared" si="387"/>
        <v>-1.2737031534050693</v>
      </c>
      <c r="Y410" t="str">
        <f t="shared" si="374"/>
        <v>0,557228178611879+5,66762051140538i</v>
      </c>
      <c r="Z410" s="67">
        <f t="shared" si="388"/>
        <v>5.6949473662486199</v>
      </c>
      <c r="AA410" s="67">
        <f t="shared" si="389"/>
        <v>1.4727934600450119</v>
      </c>
      <c r="AB410" s="92" t="str">
        <f t="shared" si="390"/>
        <v>-0,216790981934026-0,0750254646838361i</v>
      </c>
      <c r="AC410" s="37">
        <f t="shared" si="391"/>
        <v>-12.78790146729486</v>
      </c>
      <c r="AD410" s="60">
        <f t="shared" si="392"/>
        <v>-160.91065423221264</v>
      </c>
      <c r="AE410" t="str">
        <f t="shared" si="393"/>
        <v>21,0353732052265</v>
      </c>
      <c r="AF410" t="str">
        <f t="shared" si="375"/>
        <v>1+282,210798904376i</v>
      </c>
      <c r="AG410">
        <f t="shared" si="394"/>
        <v>282.21257062407085</v>
      </c>
      <c r="AH410">
        <f t="shared" si="395"/>
        <v>1.5672528911128936</v>
      </c>
      <c r="AI410" t="str">
        <f t="shared" si="376"/>
        <v>1+15,6783777169098i</v>
      </c>
      <c r="AJ410">
        <f t="shared" si="396"/>
        <v>15.71023640287102</v>
      </c>
      <c r="AK410">
        <f t="shared" si="397"/>
        <v>1.5071004989523045</v>
      </c>
      <c r="AL410" t="str">
        <f t="shared" si="377"/>
        <v>1-1,06677848336252i</v>
      </c>
      <c r="AM410">
        <f t="shared" si="398"/>
        <v>1.4621957230703551</v>
      </c>
      <c r="AN410">
        <f t="shared" si="399"/>
        <v>-0.81769734802181271</v>
      </c>
      <c r="AO410" s="58" t="str">
        <f t="shared" si="400"/>
        <v>1,09378442476746-1,31733333991876i</v>
      </c>
      <c r="AP410">
        <f t="shared" si="401"/>
        <v>4.6712419277538082</v>
      </c>
      <c r="AQ410" s="60">
        <f t="shared" si="402"/>
        <v>-50.297085159107318</v>
      </c>
      <c r="AR410" t="str">
        <f t="shared" si="378"/>
        <v>-1,05811623246493</v>
      </c>
      <c r="AS410" t="str">
        <f t="shared" si="379"/>
        <v>1+15,4526090777863i</v>
      </c>
      <c r="AT410">
        <f t="shared" si="403"/>
        <v>15.484932266913008</v>
      </c>
      <c r="AU410">
        <f t="shared" si="404"/>
        <v>1.5061724483706769</v>
      </c>
      <c r="AV410" t="str">
        <f t="shared" si="380"/>
        <v>1+15,4526090777863i</v>
      </c>
      <c r="AW410">
        <f t="shared" si="405"/>
        <v>15.484932266913008</v>
      </c>
      <c r="AX410">
        <f t="shared" si="406"/>
        <v>1.5061724483706769</v>
      </c>
      <c r="AY410" t="str">
        <f t="shared" si="381"/>
        <v>1-0,00164726521757011i</v>
      </c>
      <c r="AZ410">
        <f t="shared" si="407"/>
        <v>1.0000013567404282</v>
      </c>
      <c r="BA410">
        <f t="shared" si="408"/>
        <v>-1.6472637276306473E-3</v>
      </c>
      <c r="BB410" s="58" t="str">
        <f t="shared" si="409"/>
        <v>-0,00430047925512503+0,0681966228424625i</v>
      </c>
      <c r="BC410">
        <f t="shared" si="410"/>
        <v>-23.307506878041782</v>
      </c>
      <c r="BD410" s="60">
        <f t="shared" si="411"/>
        <v>93.608294230136096</v>
      </c>
      <c r="BE410" s="58" t="str">
        <f t="shared" si="412"/>
        <v>0,00604878843912952-0,0144617673761229i</v>
      </c>
      <c r="BF410" s="37">
        <f t="shared" si="413"/>
        <v>-36.095408345336651</v>
      </c>
      <c r="BG410" s="60">
        <f t="shared" si="414"/>
        <v>-67.302360002076526</v>
      </c>
      <c r="BH410" s="58" t="str">
        <f t="shared" si="415"/>
        <v>0,0851338877119498+0,0802575685872315i</v>
      </c>
      <c r="BI410" s="37">
        <f t="shared" si="416"/>
        <v>-18.63626495028797</v>
      </c>
      <c r="BJ410" s="60">
        <f t="shared" si="417"/>
        <v>43.311209071028806</v>
      </c>
      <c r="BK410">
        <f t="shared" si="418"/>
        <v>-36.095408345336651</v>
      </c>
      <c r="BL410" s="60">
        <f t="shared" si="419"/>
        <v>-67.302360002076526</v>
      </c>
      <c r="BN410">
        <f t="shared" si="420"/>
        <v>0</v>
      </c>
      <c r="BO410">
        <f t="shared" si="421"/>
        <v>0</v>
      </c>
    </row>
    <row r="411" spans="13:67" x14ac:dyDescent="0.25">
      <c r="M411" s="66">
        <v>93</v>
      </c>
      <c r="N411" s="36">
        <f t="shared" si="369"/>
        <v>85113.803820237721</v>
      </c>
      <c r="O411" s="91" t="str">
        <f t="shared" si="370"/>
        <v>13,7404580152672</v>
      </c>
      <c r="P411" s="67" t="str">
        <f t="shared" si="371"/>
        <v>1+577,568665729602i</v>
      </c>
      <c r="Q411" s="67">
        <f t="shared" si="382"/>
        <v>577.5695314268861</v>
      </c>
      <c r="R411" s="67">
        <f t="shared" si="383"/>
        <v>1.5690649326592838</v>
      </c>
      <c r="S411" s="67" t="str">
        <f t="shared" si="372"/>
        <v>1+16,0435740480445i</v>
      </c>
      <c r="T411" s="67">
        <f t="shared" si="384"/>
        <v>16.074708962686913</v>
      </c>
      <c r="U411" s="67">
        <f t="shared" si="385"/>
        <v>1.5085466069179032</v>
      </c>
      <c r="V411" t="str">
        <f t="shared" si="373"/>
        <v>1-3,34241126000927i</v>
      </c>
      <c r="W411" s="67">
        <f t="shared" si="386"/>
        <v>3.4887982215996316</v>
      </c>
      <c r="X411" s="67">
        <f t="shared" si="387"/>
        <v>-1.2800872176553644</v>
      </c>
      <c r="Y411" t="str">
        <f t="shared" si="374"/>
        <v>0,536360985552005+5,79963635222779i</v>
      </c>
      <c r="Z411" s="67">
        <f t="shared" si="388"/>
        <v>5.8243853688526119</v>
      </c>
      <c r="AA411" s="67">
        <f t="shared" si="389"/>
        <v>1.4785768138295972</v>
      </c>
      <c r="AB411" s="92" t="str">
        <f t="shared" si="390"/>
        <v>-0,217265838309945-0,0725812471494969i</v>
      </c>
      <c r="AC411" s="37">
        <f t="shared" si="391"/>
        <v>-12.800683933035028</v>
      </c>
      <c r="AD411" s="60">
        <f t="shared" si="392"/>
        <v>-161.5272507468122</v>
      </c>
      <c r="AE411" t="str">
        <f t="shared" si="393"/>
        <v>21,0353732052265</v>
      </c>
      <c r="AF411" t="str">
        <f t="shared" si="375"/>
        <v>1+288,784332864801i</v>
      </c>
      <c r="AG411">
        <f t="shared" si="394"/>
        <v>288.7860642554765</v>
      </c>
      <c r="AH411">
        <f t="shared" si="395"/>
        <v>1.567333548904098</v>
      </c>
      <c r="AI411" t="str">
        <f t="shared" si="376"/>
        <v>1+16,0435740480445i</v>
      </c>
      <c r="AJ411">
        <f t="shared" si="396"/>
        <v>16.074708962686913</v>
      </c>
      <c r="AK411">
        <f t="shared" si="397"/>
        <v>1.5085466069179032</v>
      </c>
      <c r="AL411" t="str">
        <f t="shared" si="377"/>
        <v>1-1,09162694634076i</v>
      </c>
      <c r="AM411">
        <f t="shared" si="398"/>
        <v>1.480422031036168</v>
      </c>
      <c r="AN411">
        <f t="shared" si="399"/>
        <v>-0.82917671711437824</v>
      </c>
      <c r="AO411" s="58" t="str">
        <f t="shared" si="400"/>
        <v>1,09377315561245-1,34476361982697i</v>
      </c>
      <c r="AP411">
        <f t="shared" si="401"/>
        <v>4.7780529544965731</v>
      </c>
      <c r="AQ411" s="60">
        <f t="shared" si="402"/>
        <v>-50.876570027456275</v>
      </c>
      <c r="AR411" t="str">
        <f t="shared" si="378"/>
        <v>-1,05811623246493</v>
      </c>
      <c r="AS411" t="str">
        <f t="shared" si="379"/>
        <v>1+15,8125465817527i</v>
      </c>
      <c r="AT411">
        <f t="shared" si="403"/>
        <v>15.844135489199118</v>
      </c>
      <c r="AU411">
        <f t="shared" si="404"/>
        <v>1.507639513514784</v>
      </c>
      <c r="AV411" t="str">
        <f t="shared" si="380"/>
        <v>1+15,8125465817527i</v>
      </c>
      <c r="AW411">
        <f t="shared" si="405"/>
        <v>15.844135489199118</v>
      </c>
      <c r="AX411">
        <f t="shared" si="406"/>
        <v>1.507639513514784</v>
      </c>
      <c r="AY411" t="str">
        <f t="shared" si="381"/>
        <v>1-0,00160976888339538i</v>
      </c>
      <c r="AZ411">
        <f t="shared" si="407"/>
        <v>1.0000012956770896</v>
      </c>
      <c r="BA411">
        <f t="shared" si="408"/>
        <v>-1.6097674929028665E-3</v>
      </c>
      <c r="BB411" s="58" t="str">
        <f t="shared" si="409"/>
        <v>-0,00410769682174936+0,0666564699236669i</v>
      </c>
      <c r="BC411">
        <f t="shared" si="410"/>
        <v>-23.506692158982982</v>
      </c>
      <c r="BD411" s="60">
        <f t="shared" si="411"/>
        <v>93.526385965105547</v>
      </c>
      <c r="BE411" s="58" t="str">
        <f t="shared" si="412"/>
        <v>0,00573047191114315-0,0141840320585125i</v>
      </c>
      <c r="BF411" s="37">
        <f t="shared" si="413"/>
        <v>-36.307376092018025</v>
      </c>
      <c r="BG411" s="60">
        <f t="shared" si="414"/>
        <v>-68.000864781706611</v>
      </c>
      <c r="BH411" s="58" t="str">
        <f t="shared" si="415"/>
        <v>0,0851443072644138+0,0784309386975629i</v>
      </c>
      <c r="BI411" s="37">
        <f t="shared" si="416"/>
        <v>-18.728639204486409</v>
      </c>
      <c r="BJ411" s="60">
        <f t="shared" si="417"/>
        <v>42.649815937649272</v>
      </c>
      <c r="BK411">
        <f t="shared" si="418"/>
        <v>-36.307376092018025</v>
      </c>
      <c r="BL411" s="60">
        <f t="shared" si="419"/>
        <v>-68.000864781706611</v>
      </c>
      <c r="BN411">
        <f t="shared" si="420"/>
        <v>0</v>
      </c>
      <c r="BO411">
        <f t="shared" si="421"/>
        <v>0</v>
      </c>
    </row>
    <row r="412" spans="13:67" x14ac:dyDescent="0.25">
      <c r="M412" s="66">
        <v>94</v>
      </c>
      <c r="N412" s="36">
        <f t="shared" si="369"/>
        <v>87096.358995608127</v>
      </c>
      <c r="O412" s="91" t="str">
        <f t="shared" si="370"/>
        <v>13,7404580152672</v>
      </c>
      <c r="P412" s="67" t="str">
        <f t="shared" si="371"/>
        <v>1+591,021968202047i</v>
      </c>
      <c r="Q412" s="67">
        <f t="shared" si="382"/>
        <v>591.02281419368364</v>
      </c>
      <c r="R412" s="67">
        <f t="shared" si="383"/>
        <v>1.5691043439253372</v>
      </c>
      <c r="S412" s="67" t="str">
        <f t="shared" si="372"/>
        <v>1+16,4172768945013i</v>
      </c>
      <c r="T412" s="67">
        <f t="shared" si="384"/>
        <v>16.447704418268412</v>
      </c>
      <c r="U412" s="67">
        <f t="shared" si="385"/>
        <v>1.509960049396424</v>
      </c>
      <c r="V412" t="str">
        <f t="shared" si="373"/>
        <v>1-3,42026601968777i</v>
      </c>
      <c r="W412" s="67">
        <f t="shared" si="386"/>
        <v>3.5634561377166998</v>
      </c>
      <c r="X412" s="67">
        <f t="shared" si="387"/>
        <v>-1.2863496166950135</v>
      </c>
      <c r="Y412" t="str">
        <f t="shared" si="374"/>
        <v>0,51451035198132+5,93472723701142i</v>
      </c>
      <c r="Z412" s="67">
        <f t="shared" si="388"/>
        <v>5.9569881886756457</v>
      </c>
      <c r="AA412" s="67">
        <f t="shared" si="389"/>
        <v>1.4843176911852984</v>
      </c>
      <c r="AB412" s="92" t="str">
        <f t="shared" si="390"/>
        <v>-0,217714570614169-0,0701677585565425i</v>
      </c>
      <c r="AC412" s="37">
        <f t="shared" si="391"/>
        <v>-12.813061297862905</v>
      </c>
      <c r="AD412" s="60">
        <f t="shared" si="392"/>
        <v>-162.13626163520112</v>
      </c>
      <c r="AE412" t="str">
        <f t="shared" si="393"/>
        <v>21,0353732052265</v>
      </c>
      <c r="AF412" t="str">
        <f t="shared" si="375"/>
        <v>1+295,510984101024i</v>
      </c>
      <c r="AG412">
        <f t="shared" si="394"/>
        <v>295.51267608066433</v>
      </c>
      <c r="AH412">
        <f t="shared" si="395"/>
        <v>1.5674123707433598</v>
      </c>
      <c r="AI412" t="str">
        <f t="shared" si="376"/>
        <v>1+16,4172768945013i</v>
      </c>
      <c r="AJ412">
        <f t="shared" si="396"/>
        <v>16.447704418268412</v>
      </c>
      <c r="AK412">
        <f t="shared" si="397"/>
        <v>1.509960049396424</v>
      </c>
      <c r="AL412" t="str">
        <f t="shared" si="377"/>
        <v>1-1,11705420437534i</v>
      </c>
      <c r="AM412">
        <f t="shared" si="398"/>
        <v>1.4992698541332123</v>
      </c>
      <c r="AN412">
        <f t="shared" si="399"/>
        <v>-0.84063299876281827</v>
      </c>
      <c r="AO412" s="58" t="str">
        <f t="shared" si="400"/>
        <v>1,09376239364108-1,37290690769294i</v>
      </c>
      <c r="AP412">
        <f t="shared" si="401"/>
        <v>4.8871841639311144</v>
      </c>
      <c r="AQ412" s="60">
        <f t="shared" si="402"/>
        <v>-51.456498484944426</v>
      </c>
      <c r="AR412" t="str">
        <f t="shared" si="378"/>
        <v>-1,05811623246493</v>
      </c>
      <c r="AS412" t="str">
        <f t="shared" si="379"/>
        <v>1+16,1808681072205i</v>
      </c>
      <c r="AT412">
        <f t="shared" si="403"/>
        <v>16.2117393484865</v>
      </c>
      <c r="AU412">
        <f t="shared" si="404"/>
        <v>1.5090734472735616</v>
      </c>
      <c r="AV412" t="str">
        <f t="shared" si="380"/>
        <v>1+16,1808681072205i</v>
      </c>
      <c r="AW412">
        <f t="shared" si="405"/>
        <v>16.2117393484865</v>
      </c>
      <c r="AX412">
        <f t="shared" si="406"/>
        <v>1.5090734472735616</v>
      </c>
      <c r="AY412" t="str">
        <f t="shared" si="381"/>
        <v>1-0,00157312606999044i</v>
      </c>
      <c r="AZ412">
        <f t="shared" si="407"/>
        <v>1.0000012373620504</v>
      </c>
      <c r="BA412">
        <f t="shared" si="408"/>
        <v>-1.5731247723072309E-3</v>
      </c>
      <c r="BB412" s="58" t="str">
        <f t="shared" si="409"/>
        <v>-0,00392352344416957+0,0651505655960659i</v>
      </c>
      <c r="BC412">
        <f t="shared" si="410"/>
        <v>-23.705913965435773</v>
      </c>
      <c r="BD412" s="60">
        <f t="shared" si="411"/>
        <v>93.446327085866272</v>
      </c>
      <c r="BE412" s="58" t="str">
        <f t="shared" si="412"/>
        <v>0,00542567737850894-0,0139089225682963i</v>
      </c>
      <c r="BF412" s="37">
        <f t="shared" si="413"/>
        <v>-36.518975263298685</v>
      </c>
      <c r="BG412" s="60">
        <f t="shared" si="414"/>
        <v>-68.689934549334851</v>
      </c>
      <c r="BH412" s="58" t="str">
        <f t="shared" si="415"/>
        <v>0,0851542591531391+0,0766458710124188i</v>
      </c>
      <c r="BI412" s="37">
        <f t="shared" si="416"/>
        <v>-18.818729801504659</v>
      </c>
      <c r="BJ412" s="60">
        <f t="shared" si="417"/>
        <v>41.989828600921832</v>
      </c>
      <c r="BK412">
        <f t="shared" si="418"/>
        <v>-36.518975263298685</v>
      </c>
      <c r="BL412" s="60">
        <f t="shared" si="419"/>
        <v>-68.689934549334851</v>
      </c>
      <c r="BN412">
        <f t="shared" si="420"/>
        <v>0</v>
      </c>
      <c r="BO412">
        <f t="shared" si="421"/>
        <v>0</v>
      </c>
    </row>
    <row r="413" spans="13:67" x14ac:dyDescent="0.25">
      <c r="M413" s="66">
        <v>95</v>
      </c>
      <c r="N413" s="36">
        <f t="shared" si="369"/>
        <v>89125.093813374609</v>
      </c>
      <c r="O413" s="91" t="str">
        <f t="shared" si="370"/>
        <v>13,7404580152672</v>
      </c>
      <c r="P413" s="67" t="str">
        <f t="shared" si="371"/>
        <v>1+604,788638345134i</v>
      </c>
      <c r="Q413" s="67">
        <f t="shared" si="382"/>
        <v>604.78946507967657</v>
      </c>
      <c r="R413" s="67">
        <f t="shared" si="383"/>
        <v>1.5691428580865285</v>
      </c>
      <c r="S413" s="67" t="str">
        <f t="shared" si="372"/>
        <v>1+16,799684398476i</v>
      </c>
      <c r="T413" s="67">
        <f t="shared" si="384"/>
        <v>16.829420545235592</v>
      </c>
      <c r="U413" s="67">
        <f t="shared" si="385"/>
        <v>1.5113415532106007</v>
      </c>
      <c r="V413" t="str">
        <f t="shared" si="373"/>
        <v>1-3,49993424968249i</v>
      </c>
      <c r="W413" s="67">
        <f t="shared" si="386"/>
        <v>3.6399917241802258</v>
      </c>
      <c r="X413" s="67">
        <f t="shared" si="387"/>
        <v>-1.2924917054154847</v>
      </c>
      <c r="Y413" t="str">
        <f t="shared" si="374"/>
        <v>0,491629929776458+6,0729647927315i</v>
      </c>
      <c r="Z413" s="67">
        <f t="shared" si="388"/>
        <v>6.0928319656468739</v>
      </c>
      <c r="AA413" s="67">
        <f t="shared" si="389"/>
        <v>1.4900186210452087</v>
      </c>
      <c r="AB413" s="92" t="str">
        <f t="shared" si="390"/>
        <v>-0,218137950950206-0,0677842760273555i</v>
      </c>
      <c r="AC413" s="37">
        <f t="shared" si="391"/>
        <v>-12.825052993619064</v>
      </c>
      <c r="AD413" s="60">
        <f t="shared" si="392"/>
        <v>-162.7378689775062</v>
      </c>
      <c r="AE413" t="str">
        <f t="shared" si="393"/>
        <v>21,0353732052265</v>
      </c>
      <c r="AF413" t="str">
        <f t="shared" si="375"/>
        <v>1+302,394319172567i</v>
      </c>
      <c r="AG413">
        <f t="shared" si="394"/>
        <v>302.3959726382617</v>
      </c>
      <c r="AH413">
        <f t="shared" si="395"/>
        <v>1.5674893984191416</v>
      </c>
      <c r="AI413" t="str">
        <f t="shared" si="376"/>
        <v>1+16,799684398476i</v>
      </c>
      <c r="AJ413">
        <f t="shared" si="396"/>
        <v>16.829420545235592</v>
      </c>
      <c r="AK413">
        <f t="shared" si="397"/>
        <v>1.5113415532106007</v>
      </c>
      <c r="AL413" t="str">
        <f t="shared" si="377"/>
        <v>1-1,14307373933504i</v>
      </c>
      <c r="AM413">
        <f t="shared" si="398"/>
        <v>1.5187552711208578</v>
      </c>
      <c r="AN413">
        <f t="shared" si="399"/>
        <v>-0.85206023945898735</v>
      </c>
      <c r="AO413" s="58" t="str">
        <f t="shared" si="400"/>
        <v>1,09375211602737-1,40177812569494i</v>
      </c>
      <c r="AP413">
        <f t="shared" si="401"/>
        <v>4.9986235996775239</v>
      </c>
      <c r="AQ413" s="60">
        <f t="shared" si="402"/>
        <v>-52.036490171109577</v>
      </c>
      <c r="AR413" t="str">
        <f t="shared" si="378"/>
        <v>-1,05811623246493</v>
      </c>
      <c r="AS413" t="str">
        <f t="shared" si="379"/>
        <v>1+16,5577689431379i</v>
      </c>
      <c r="AT413">
        <f t="shared" si="403"/>
        <v>16.587938762074749</v>
      </c>
      <c r="AU413">
        <f t="shared" si="404"/>
        <v>1.5104749863371143</v>
      </c>
      <c r="AV413" t="str">
        <f t="shared" si="380"/>
        <v>1+16,5577689431379i</v>
      </c>
      <c r="AW413">
        <f t="shared" si="405"/>
        <v>16.587938762074749</v>
      </c>
      <c r="AX413">
        <f t="shared" si="406"/>
        <v>1.5104749863371143</v>
      </c>
      <c r="AY413" t="str">
        <f t="shared" si="381"/>
        <v>1-0,00153731734885059i</v>
      </c>
      <c r="AZ413">
        <f t="shared" si="407"/>
        <v>1.0000011816716174</v>
      </c>
      <c r="BA413">
        <f t="shared" si="408"/>
        <v>-1.537316137782073E-3</v>
      </c>
      <c r="BB413" s="58" t="str">
        <f t="shared" si="409"/>
        <v>-0,00374757756443132+0,06367818384961i</v>
      </c>
      <c r="BC413">
        <f t="shared" si="410"/>
        <v>-23.905170666007045</v>
      </c>
      <c r="BD413" s="60">
        <f t="shared" si="411"/>
        <v>93.368076496330417</v>
      </c>
      <c r="BE413" s="58" t="str">
        <f t="shared" si="412"/>
        <v>0,00513386848191467-0,0136366017131231i</v>
      </c>
      <c r="BF413" s="37">
        <f t="shared" si="413"/>
        <v>-36.730223659626105</v>
      </c>
      <c r="BG413" s="60">
        <f t="shared" si="414"/>
        <v>-69.369792481175807</v>
      </c>
      <c r="BH413" s="58" t="str">
        <f t="shared" si="415"/>
        <v>0,0851637643132907+0,0749014205844558i</v>
      </c>
      <c r="BI413" s="37">
        <f t="shared" si="416"/>
        <v>-18.906547066329519</v>
      </c>
      <c r="BJ413" s="60">
        <f t="shared" si="417"/>
        <v>41.331586325220833</v>
      </c>
      <c r="BK413">
        <f t="shared" si="418"/>
        <v>-36.730223659626105</v>
      </c>
      <c r="BL413" s="60">
        <f t="shared" si="419"/>
        <v>-69.369792481175807</v>
      </c>
      <c r="BN413">
        <f t="shared" si="420"/>
        <v>0</v>
      </c>
      <c r="BO413">
        <f t="shared" si="421"/>
        <v>0</v>
      </c>
    </row>
    <row r="414" spans="13:67" x14ac:dyDescent="0.25">
      <c r="M414" s="66">
        <v>96</v>
      </c>
      <c r="N414" s="36">
        <f t="shared" si="369"/>
        <v>91201.083935591028</v>
      </c>
      <c r="O414" s="91" t="str">
        <f t="shared" si="370"/>
        <v>13,7404580152672</v>
      </c>
      <c r="P414" s="67" t="str">
        <f t="shared" si="371"/>
        <v>1+618,875975429595i</v>
      </c>
      <c r="Q414" s="67">
        <f t="shared" si="382"/>
        <v>618.87678334538668</v>
      </c>
      <c r="R414" s="67">
        <f t="shared" si="383"/>
        <v>1.5691804955631183</v>
      </c>
      <c r="S414" s="67" t="str">
        <f t="shared" si="372"/>
        <v>1+17,1909993174888i</v>
      </c>
      <c r="T414" s="67">
        <f t="shared" si="384"/>
        <v>17.220059742460254</v>
      </c>
      <c r="U414" s="67">
        <f t="shared" si="385"/>
        <v>1.5126918297467409</v>
      </c>
      <c r="V414" t="str">
        <f t="shared" si="373"/>
        <v>1-3,58145819114349i</v>
      </c>
      <c r="W414" s="67">
        <f t="shared" si="386"/>
        <v>3.7184462850643412</v>
      </c>
      <c r="X414" s="67">
        <f t="shared" si="387"/>
        <v>-1.298514886023626</v>
      </c>
      <c r="Y414" t="str">
        <f t="shared" si="374"/>
        <v>0,467671186494288+6,21442231476989i</v>
      </c>
      <c r="Z414" s="67">
        <f t="shared" si="388"/>
        <v>6.2319949490501774</v>
      </c>
      <c r="AA414" s="67">
        <f t="shared" si="389"/>
        <v>1.4956821365848865</v>
      </c>
      <c r="AB414" s="92" t="str">
        <f t="shared" si="390"/>
        <v>-0,218536713662569-0,0654300635843718i</v>
      </c>
      <c r="AC414" s="37">
        <f t="shared" si="391"/>
        <v>-12.836678158592775</v>
      </c>
      <c r="AD414" s="60">
        <f t="shared" si="392"/>
        <v>-163.33225866509181</v>
      </c>
      <c r="AE414" t="str">
        <f t="shared" si="393"/>
        <v>21,0353732052265</v>
      </c>
      <c r="AF414" t="str">
        <f t="shared" si="375"/>
        <v>1+309,437987714798i</v>
      </c>
      <c r="AG414">
        <f t="shared" si="394"/>
        <v>309.43960354321729</v>
      </c>
      <c r="AH414">
        <f t="shared" si="395"/>
        <v>1.5675646727688779</v>
      </c>
      <c r="AI414" t="str">
        <f t="shared" si="376"/>
        <v>1+17,1909993174888i</v>
      </c>
      <c r="AJ414">
        <f t="shared" si="396"/>
        <v>17.220059742460254</v>
      </c>
      <c r="AK414">
        <f t="shared" si="397"/>
        <v>1.5126918297467409</v>
      </c>
      <c r="AL414" t="str">
        <f t="shared" si="377"/>
        <v>1-1,1696993471217i</v>
      </c>
      <c r="AM414">
        <f t="shared" si="398"/>
        <v>1.5388945911455183</v>
      </c>
      <c r="AN414">
        <f t="shared" si="399"/>
        <v>-0.86345256149452254</v>
      </c>
      <c r="AO414" s="58" t="str">
        <f t="shared" si="400"/>
        <v>1,09374230097259-1,43139258195374i</v>
      </c>
      <c r="AP414">
        <f t="shared" si="401"/>
        <v>5.1123570530570266</v>
      </c>
      <c r="AQ414" s="60">
        <f t="shared" si="402"/>
        <v>-52.616169898448497</v>
      </c>
      <c r="AR414" t="str">
        <f t="shared" si="378"/>
        <v>-1,05811623246493</v>
      </c>
      <c r="AS414" t="str">
        <f t="shared" si="379"/>
        <v>1+16,9434489273169i</v>
      </c>
      <c r="AT414">
        <f t="shared" si="403"/>
        <v>16.972933204151726</v>
      </c>
      <c r="AU414">
        <f t="shared" si="404"/>
        <v>1.5118448517830905</v>
      </c>
      <c r="AV414" t="str">
        <f t="shared" si="380"/>
        <v>1+16,9434489273169i</v>
      </c>
      <c r="AW414">
        <f t="shared" si="405"/>
        <v>16.972933204151726</v>
      </c>
      <c r="AX414">
        <f t="shared" si="406"/>
        <v>1.5118448517830905</v>
      </c>
      <c r="AY414" t="str">
        <f t="shared" si="381"/>
        <v>1-0,00150232373371791i</v>
      </c>
      <c r="AZ414">
        <f t="shared" si="407"/>
        <v>1.0000011284876638</v>
      </c>
      <c r="BA414">
        <f t="shared" si="408"/>
        <v>-1.5023226034829359E-3</v>
      </c>
      <c r="BB414" s="58" t="str">
        <f t="shared" si="409"/>
        <v>-0,0035794942814655+0,0622386116726978i</v>
      </c>
      <c r="BC414">
        <f t="shared" si="410"/>
        <v>-24.104460701632291</v>
      </c>
      <c r="BD414" s="60">
        <f t="shared" si="411"/>
        <v>93.29159396960074</v>
      </c>
      <c r="BE414" s="58" t="str">
        <f t="shared" si="412"/>
        <v>0,00485452723599307-0,013367215119436i</v>
      </c>
      <c r="BF414" s="37">
        <f t="shared" si="413"/>
        <v>-36.941138860225074</v>
      </c>
      <c r="BG414" s="60">
        <f t="shared" si="414"/>
        <v>-70.04066469549106</v>
      </c>
      <c r="BH414" s="58" t="str">
        <f t="shared" si="415"/>
        <v>0,0851728427476708+0,0731966639018715i</v>
      </c>
      <c r="BI414" s="37">
        <f t="shared" si="416"/>
        <v>-18.992103648575267</v>
      </c>
      <c r="BJ414" s="60">
        <f t="shared" si="417"/>
        <v>40.675424071152236</v>
      </c>
      <c r="BK414">
        <f t="shared" si="418"/>
        <v>-36.941138860225074</v>
      </c>
      <c r="BL414" s="60">
        <f t="shared" si="419"/>
        <v>-70.04066469549106</v>
      </c>
      <c r="BN414">
        <f t="shared" si="420"/>
        <v>0</v>
      </c>
      <c r="BO414">
        <f t="shared" si="421"/>
        <v>0</v>
      </c>
    </row>
    <row r="415" spans="13:67" x14ac:dyDescent="0.25">
      <c r="M415" s="66">
        <v>97</v>
      </c>
      <c r="N415" s="36">
        <f t="shared" si="369"/>
        <v>93325.430079699145</v>
      </c>
      <c r="O415" s="91" t="str">
        <f t="shared" si="370"/>
        <v>13,7404580152672</v>
      </c>
      <c r="P415" s="67" t="str">
        <f t="shared" si="371"/>
        <v>1+633,29144874802i</v>
      </c>
      <c r="Q415" s="67">
        <f t="shared" si="382"/>
        <v>633.29223827342628</v>
      </c>
      <c r="R415" s="67">
        <f t="shared" si="383"/>
        <v>1.5692172763105685</v>
      </c>
      <c r="S415" s="67" t="str">
        <f t="shared" si="372"/>
        <v>1+17,5914291318895i</v>
      </c>
      <c r="T415" s="67">
        <f t="shared" si="384"/>
        <v>17.619829139418197</v>
      </c>
      <c r="U415" s="67">
        <f t="shared" si="385"/>
        <v>1.5140115752331043</v>
      </c>
      <c r="V415" t="str">
        <f t="shared" si="373"/>
        <v>1-3,66488106914364i</v>
      </c>
      <c r="W415" s="67">
        <f t="shared" si="386"/>
        <v>3.7988620994934035</v>
      </c>
      <c r="X415" s="67">
        <f t="shared" si="387"/>
        <v>-1.3044206032970378</v>
      </c>
      <c r="Y415" t="str">
        <f t="shared" si="374"/>
        <v>0,442583302428106+6,35917480577717i</v>
      </c>
      <c r="Z415" s="67">
        <f t="shared" si="388"/>
        <v>6.374557568178302</v>
      </c>
      <c r="AA415" s="67">
        <f t="shared" si="389"/>
        <v>1.5013107745365912</v>
      </c>
      <c r="AB415" s="92" t="str">
        <f t="shared" si="390"/>
        <v>-0,218911555698234-0,0631043737069092i</v>
      </c>
      <c r="AC415" s="37">
        <f t="shared" si="391"/>
        <v>-12.847955638626228</v>
      </c>
      <c r="AD415" s="60">
        <f t="shared" si="392"/>
        <v>-163.91962007409182</v>
      </c>
      <c r="AE415" t="str">
        <f t="shared" si="393"/>
        <v>21,0353732052265</v>
      </c>
      <c r="AF415" t="str">
        <f t="shared" si="375"/>
        <v>1+316,645724374011i</v>
      </c>
      <c r="AG415">
        <f t="shared" si="394"/>
        <v>316.6473034218705</v>
      </c>
      <c r="AH415">
        <f t="shared" si="395"/>
        <v>1.5676382337006116</v>
      </c>
      <c r="AI415" t="str">
        <f t="shared" si="376"/>
        <v>1+17,5914291318895i</v>
      </c>
      <c r="AJ415">
        <f t="shared" si="396"/>
        <v>17.619829139418197</v>
      </c>
      <c r="AK415">
        <f t="shared" si="397"/>
        <v>1.5140115752331043</v>
      </c>
      <c r="AL415" t="str">
        <f t="shared" si="377"/>
        <v>1-1,19694514498501i</v>
      </c>
      <c r="AM415">
        <f t="shared" si="398"/>
        <v>1.5597043566340343</v>
      </c>
      <c r="AN415">
        <f t="shared" si="399"/>
        <v>-0.87480417769082786</v>
      </c>
      <c r="AO415" s="58" t="str">
        <f t="shared" si="400"/>
        <v>1,09373292765901-1,46176597865032i</v>
      </c>
      <c r="AP415">
        <f t="shared" si="401"/>
        <v>5.2283681126182362</v>
      </c>
      <c r="AQ415" s="60">
        <f t="shared" si="402"/>
        <v>-53.195168481674756</v>
      </c>
      <c r="AR415" t="str">
        <f t="shared" si="378"/>
        <v>-1,05811623246493</v>
      </c>
      <c r="AS415" t="str">
        <f t="shared" si="379"/>
        <v>1+17,3381125523903i</v>
      </c>
      <c r="AT415">
        <f t="shared" si="403"/>
        <v>17.366926811596638</v>
      </c>
      <c r="AU415">
        <f t="shared" si="404"/>
        <v>1.5131837493558979</v>
      </c>
      <c r="AV415" t="str">
        <f t="shared" si="380"/>
        <v>1+17,3381125523903i</v>
      </c>
      <c r="AW415">
        <f t="shared" si="405"/>
        <v>17.366926811596638</v>
      </c>
      <c r="AX415">
        <f t="shared" si="406"/>
        <v>1.5131837493558979</v>
      </c>
      <c r="AY415" t="str">
        <f t="shared" si="381"/>
        <v>1-0,00146812667051445i</v>
      </c>
      <c r="AZ415">
        <f t="shared" si="407"/>
        <v>1.0000010776973796</v>
      </c>
      <c r="BA415">
        <f t="shared" si="408"/>
        <v>-1.4681256157177353E-3</v>
      </c>
      <c r="BB415" s="58" t="str">
        <f t="shared" si="409"/>
        <v>-0,0034189246462651+0,0608311489864714i</v>
      </c>
      <c r="BC415">
        <f t="shared" si="410"/>
        <v>-24.30378258241614</v>
      </c>
      <c r="BD415" s="60">
        <f t="shared" si="411"/>
        <v>93.216840132549578</v>
      </c>
      <c r="BE415" s="58" t="str">
        <f t="shared" si="412"/>
        <v>0,00458715367179189-0,0131008923609858i</v>
      </c>
      <c r="BF415" s="37">
        <f t="shared" si="413"/>
        <v>-37.151738221042386</v>
      </c>
      <c r="BG415" s="60">
        <f t="shared" si="414"/>
        <v>-70.702779941542204</v>
      </c>
      <c r="BH415" s="58" t="str">
        <f t="shared" si="415"/>
        <v>0,0851815135678277+0,0715306984053142i</v>
      </c>
      <c r="BI415" s="37">
        <f t="shared" si="416"/>
        <v>-19.075414469797906</v>
      </c>
      <c r="BJ415" s="60">
        <f t="shared" si="417"/>
        <v>40.021671650874843</v>
      </c>
      <c r="BK415">
        <f t="shared" si="418"/>
        <v>-37.151738221042386</v>
      </c>
      <c r="BL415" s="60">
        <f t="shared" si="419"/>
        <v>-70.702779941542204</v>
      </c>
      <c r="BN415">
        <f t="shared" si="420"/>
        <v>0</v>
      </c>
      <c r="BO415">
        <f t="shared" si="421"/>
        <v>0</v>
      </c>
    </row>
    <row r="416" spans="13:67" x14ac:dyDescent="0.25">
      <c r="M416" s="66">
        <v>98</v>
      </c>
      <c r="N416" s="36">
        <f t="shared" si="369"/>
        <v>95499.258602143804</v>
      </c>
      <c r="O416" s="91" t="str">
        <f t="shared" si="370"/>
        <v>13,7404580152672</v>
      </c>
      <c r="P416" s="67" t="str">
        <f t="shared" si="371"/>
        <v>1+648,042701575177i</v>
      </c>
      <c r="Q416" s="67">
        <f t="shared" si="382"/>
        <v>648.04347312881248</v>
      </c>
      <c r="R416" s="67">
        <f t="shared" si="383"/>
        <v>1.5692532198301197</v>
      </c>
      <c r="S416" s="67" t="str">
        <f t="shared" si="372"/>
        <v>1+18,001186154866i</v>
      </c>
      <c r="T416" s="67">
        <f t="shared" si="384"/>
        <v>18.02894070604647</v>
      </c>
      <c r="U416" s="67">
        <f t="shared" si="385"/>
        <v>1.515301471016709</v>
      </c>
      <c r="V416" t="str">
        <f t="shared" si="373"/>
        <v>1-3,75024711559709i</v>
      </c>
      <c r="W416" s="67">
        <f t="shared" si="386"/>
        <v>3.8812824463113085</v>
      </c>
      <c r="X416" s="67">
        <f t="shared" si="387"/>
        <v>-1.3102103400530209</v>
      </c>
      <c r="Y416" t="str">
        <f t="shared" si="374"/>
        <v>0,416313062812214+6,50729901544011i</v>
      </c>
      <c r="Z416" s="67">
        <f t="shared" si="388"/>
        <v>6.5206025061044715</v>
      </c>
      <c r="AA416" s="67">
        <f t="shared" si="389"/>
        <v>1.5069070745875528</v>
      </c>
      <c r="AB416" s="92" t="str">
        <f t="shared" si="390"/>
        <v>-0,219263136990364-0,0608064488078912i</v>
      </c>
      <c r="AC416" s="37">
        <f t="shared" si="391"/>
        <v>-12.858903990113399</v>
      </c>
      <c r="AD416" s="60">
        <f t="shared" si="392"/>
        <v>-164.50014575606914</v>
      </c>
      <c r="AE416" t="str">
        <f t="shared" si="393"/>
        <v>21,0353732052265</v>
      </c>
      <c r="AF416" t="str">
        <f t="shared" si="375"/>
        <v>1+324,021350787589i</v>
      </c>
      <c r="AG416">
        <f t="shared" si="394"/>
        <v>324.02289389210415</v>
      </c>
      <c r="AH416">
        <f t="shared" si="395"/>
        <v>1.5677101202141359</v>
      </c>
      <c r="AI416" t="str">
        <f t="shared" si="376"/>
        <v>1+18,001186154866i</v>
      </c>
      <c r="AJ416">
        <f t="shared" si="396"/>
        <v>18.02894070604647</v>
      </c>
      <c r="AK416">
        <f t="shared" si="397"/>
        <v>1.515301471016709</v>
      </c>
      <c r="AL416" t="str">
        <f t="shared" si="377"/>
        <v>1-1,22482557900763i</v>
      </c>
      <c r="AM416">
        <f t="shared" si="398"/>
        <v>1.5812013467586523</v>
      </c>
      <c r="AN416">
        <f t="shared" si="399"/>
        <v>-0.88610940556264617</v>
      </c>
      <c r="AO416" s="58" t="str">
        <f t="shared" si="400"/>
        <v>1,09372397620582-1,49291442035224i</v>
      </c>
      <c r="AP416">
        <f t="shared" si="401"/>
        <v>5.3466382226242697</v>
      </c>
      <c r="AQ416" s="60">
        <f t="shared" si="402"/>
        <v>-53.773123534580073</v>
      </c>
      <c r="AR416" t="str">
        <f t="shared" si="378"/>
        <v>-1,05811623246493</v>
      </c>
      <c r="AS416" t="str">
        <f t="shared" si="379"/>
        <v>1+17,741969074236i</v>
      </c>
      <c r="AT416">
        <f t="shared" si="403"/>
        <v>17.77012849225201</v>
      </c>
      <c r="AU416">
        <f t="shared" si="404"/>
        <v>1.5144923697445298</v>
      </c>
      <c r="AV416" t="str">
        <f t="shared" si="380"/>
        <v>1+17,741969074236i</v>
      </c>
      <c r="AW416">
        <f t="shared" si="405"/>
        <v>17.77012849225201</v>
      </c>
      <c r="AX416">
        <f t="shared" si="406"/>
        <v>1.5144923697445298</v>
      </c>
      <c r="AY416" t="str">
        <f t="shared" si="381"/>
        <v>1-0,00143470802750464i</v>
      </c>
      <c r="AZ416">
        <f t="shared" si="407"/>
        <v>1.0000010291930324</v>
      </c>
      <c r="BA416">
        <f t="shared" si="408"/>
        <v>-1.4347070431110123E-3</v>
      </c>
      <c r="BB416" s="58" t="str">
        <f t="shared" si="409"/>
        <v>-0,00326553498490747+0,0594551085658144i</v>
      </c>
      <c r="BC416">
        <f t="shared" si="410"/>
        <v>-24.503134884606325</v>
      </c>
      <c r="BD416" s="60">
        <f t="shared" si="411"/>
        <v>93.143776450463903</v>
      </c>
      <c r="BE416" s="58" t="str">
        <f t="shared" si="412"/>
        <v>0,0043312654601174-0,012837748028353i</v>
      </c>
      <c r="BF416" s="37">
        <f t="shared" si="413"/>
        <v>-37.362038874719708</v>
      </c>
      <c r="BG416" s="60">
        <f t="shared" si="414"/>
        <v>-71.356369305605284</v>
      </c>
      <c r="BH416" s="58" t="str">
        <f t="shared" si="415"/>
        <v>0,0851897950333801+0,0699026420154843i</v>
      </c>
      <c r="BI416" s="37">
        <f t="shared" si="416"/>
        <v>-19.156496661982054</v>
      </c>
      <c r="BJ416" s="60">
        <f t="shared" si="417"/>
        <v>39.370652915883831</v>
      </c>
      <c r="BK416">
        <f t="shared" si="418"/>
        <v>-37.362038874719708</v>
      </c>
      <c r="BL416" s="60">
        <f t="shared" si="419"/>
        <v>-71.356369305605284</v>
      </c>
      <c r="BN416">
        <f t="shared" si="420"/>
        <v>0</v>
      </c>
      <c r="BO416">
        <f t="shared" si="421"/>
        <v>0</v>
      </c>
    </row>
    <row r="417" spans="13:67" x14ac:dyDescent="0.25">
      <c r="M417" s="66">
        <v>99</v>
      </c>
      <c r="N417" s="36">
        <f t="shared" si="369"/>
        <v>97723.722095581266</v>
      </c>
      <c r="O417" s="91" t="str">
        <f t="shared" si="370"/>
        <v>13,7404580152672</v>
      </c>
      <c r="P417" s="67" t="str">
        <f t="shared" si="371"/>
        <v>1+663,137555220565i</v>
      </c>
      <c r="Q417" s="67">
        <f t="shared" si="382"/>
        <v>663.13830921151578</v>
      </c>
      <c r="R417" s="67">
        <f t="shared" si="383"/>
        <v>1.56928834517913</v>
      </c>
      <c r="S417" s="67" t="str">
        <f t="shared" si="372"/>
        <v>1+18,4204876450157i</v>
      </c>
      <c r="T417" s="67">
        <f t="shared" si="384"/>
        <v>18.447611365165304</v>
      </c>
      <c r="U417" s="67">
        <f t="shared" si="385"/>
        <v>1.5165621838383028</v>
      </c>
      <c r="V417" t="str">
        <f t="shared" si="373"/>
        <v>1-3,83760159271161i</v>
      </c>
      <c r="W417" s="67">
        <f t="shared" si="386"/>
        <v>3.9657516291848993</v>
      </c>
      <c r="X417" s="67">
        <f t="shared" si="387"/>
        <v>-1.3158856128305547</v>
      </c>
      <c r="Y417" t="str">
        <f t="shared" si="374"/>
        <v>0,388804744946278+6,65887348117531i</v>
      </c>
      <c r="Z417" s="67">
        <f t="shared" si="388"/>
        <v>6.6702147767513846</v>
      </c>
      <c r="AA417" s="67">
        <f t="shared" si="389"/>
        <v>1.5124735788559107</v>
      </c>
      <c r="AB417" s="92" t="str">
        <f t="shared" si="390"/>
        <v>-0,219592080858672-0,0585355226345072i</v>
      </c>
      <c r="AC417" s="37">
        <f t="shared" si="391"/>
        <v>-12.869541484763014</v>
      </c>
      <c r="AD417" s="60">
        <f t="shared" si="392"/>
        <v>-165.07403114542274</v>
      </c>
      <c r="AE417" t="str">
        <f t="shared" si="393"/>
        <v>21,0353732052265</v>
      </c>
      <c r="AF417" t="str">
        <f t="shared" si="375"/>
        <v>1+331,568777610283i</v>
      </c>
      <c r="AG417">
        <f t="shared" si="394"/>
        <v>331.57028558961269</v>
      </c>
      <c r="AH417">
        <f t="shared" si="395"/>
        <v>1.5677803704216584</v>
      </c>
      <c r="AI417" t="str">
        <f t="shared" si="376"/>
        <v>1+18,4204876450157i</v>
      </c>
      <c r="AJ417">
        <f t="shared" si="396"/>
        <v>18.447611365165304</v>
      </c>
      <c r="AK417">
        <f t="shared" si="397"/>
        <v>1.5165621838383028</v>
      </c>
      <c r="AL417" t="str">
        <f t="shared" si="377"/>
        <v>1-1,25335543176473i</v>
      </c>
      <c r="AM417">
        <f t="shared" si="398"/>
        <v>1.6034025814916704</v>
      </c>
      <c r="AN417">
        <f t="shared" si="399"/>
        <v>-0.89736268083435555</v>
      </c>
      <c r="AO417" s="58" t="str">
        <f t="shared" si="400"/>
        <v>1,09371542762688-1,5248544225535i</v>
      </c>
      <c r="AP417">
        <f t="shared" si="401"/>
        <v>5.4671467499674344</v>
      </c>
      <c r="AQ417" s="60">
        <f t="shared" si="402"/>
        <v>-54.349680229893607</v>
      </c>
      <c r="AR417" t="str">
        <f t="shared" si="378"/>
        <v>-1,05811623246493</v>
      </c>
      <c r="AS417" t="str">
        <f t="shared" si="379"/>
        <v>1+18,1552326229275i</v>
      </c>
      <c r="AT417">
        <f t="shared" si="403"/>
        <v>18.182752035723606</v>
      </c>
      <c r="AU417">
        <f t="shared" si="404"/>
        <v>1.5157713888587254</v>
      </c>
      <c r="AV417" t="str">
        <f t="shared" si="380"/>
        <v>1+18,1552326229275i</v>
      </c>
      <c r="AW417">
        <f t="shared" si="405"/>
        <v>18.182752035723606</v>
      </c>
      <c r="AX417">
        <f t="shared" si="406"/>
        <v>1.5157713888587254</v>
      </c>
      <c r="AY417" t="str">
        <f t="shared" si="381"/>
        <v>1-0,00140205008568163i</v>
      </c>
      <c r="AZ417">
        <f t="shared" si="407"/>
        <v>1.0000009828717384</v>
      </c>
      <c r="BA417">
        <f t="shared" si="408"/>
        <v>-1.4020491669919921E-3</v>
      </c>
      <c r="BB417" s="58" t="str">
        <f t="shared" si="409"/>
        <v>-0,00311900624850023+0,0581098159482747i</v>
      </c>
      <c r="BC417">
        <f t="shared" si="410"/>
        <v>-24.702516247696739</v>
      </c>
      <c r="BD417" s="60">
        <f t="shared" si="411"/>
        <v>93.072365211773416</v>
      </c>
      <c r="BE417" s="58" t="str">
        <f t="shared" si="412"/>
        <v>0,00408639751904665-0,0125778827415398i</v>
      </c>
      <c r="BF417" s="37">
        <f t="shared" si="413"/>
        <v>-37.572057732459776</v>
      </c>
      <c r="BG417" s="60">
        <f t="shared" si="414"/>
        <v>-72.001665933649264</v>
      </c>
      <c r="BH417" s="58" t="str">
        <f t="shared" si="415"/>
        <v>0,0851977045896472+0,0683116326711841i</v>
      </c>
      <c r="BI417" s="37">
        <f t="shared" si="416"/>
        <v>-19.235369497729305</v>
      </c>
      <c r="BJ417" s="60">
        <f t="shared" si="417"/>
        <v>38.722684981879823</v>
      </c>
      <c r="BK417">
        <f t="shared" si="418"/>
        <v>-37.572057732459776</v>
      </c>
      <c r="BL417" s="60">
        <f t="shared" si="419"/>
        <v>-72.001665933649264</v>
      </c>
      <c r="BN417">
        <f t="shared" si="420"/>
        <v>0</v>
      </c>
      <c r="BO417">
        <f t="shared" si="421"/>
        <v>0</v>
      </c>
    </row>
    <row r="418" spans="13:67" x14ac:dyDescent="0.25">
      <c r="M418" s="66">
        <v>100</v>
      </c>
      <c r="N418" s="36">
        <f t="shared" si="369"/>
        <v>100000</v>
      </c>
      <c r="O418" s="91" t="str">
        <f t="shared" si="370"/>
        <v>13,7404580152672</v>
      </c>
      <c r="P418" s="67" t="str">
        <f t="shared" si="371"/>
        <v>1+678,584013175396i</v>
      </c>
      <c r="Q418" s="67">
        <f t="shared" si="382"/>
        <v>678.58475000343617</v>
      </c>
      <c r="R418" s="67">
        <f t="shared" si="383"/>
        <v>1.5693226709811776</v>
      </c>
      <c r="S418" s="67" t="str">
        <f t="shared" si="372"/>
        <v>1+18,8495559215388i</v>
      </c>
      <c r="T418" s="67">
        <f t="shared" si="384"/>
        <v>18.876063107523731</v>
      </c>
      <c r="U418" s="67">
        <f t="shared" si="385"/>
        <v>1.5177943661052453</v>
      </c>
      <c r="V418" t="str">
        <f t="shared" si="373"/>
        <v>1-3,92699081698724i</v>
      </c>
      <c r="W418" s="67">
        <f t="shared" si="386"/>
        <v>4.0523150021564351</v>
      </c>
      <c r="X418" s="67">
        <f t="shared" si="387"/>
        <v>-1.3214479677837223</v>
      </c>
      <c r="Y418" t="str">
        <f t="shared" si="374"/>
        <v>0,359999999999998+6,81397856977084i</v>
      </c>
      <c r="Z418" s="67">
        <f t="shared" si="388"/>
        <v>6.8234818054491981</v>
      </c>
      <c r="AA418" s="67">
        <f t="shared" si="389"/>
        <v>1.5180128314380785</v>
      </c>
      <c r="AB418" s="92" t="str">
        <f t="shared" si="390"/>
        <v>-0,219898974421246-0,0562908215969544i</v>
      </c>
      <c r="AC418" s="37">
        <f t="shared" si="391"/>
        <v>-12.879886116002295</v>
      </c>
      <c r="AD418" s="60">
        <f t="shared" si="392"/>
        <v>-165.64147428310707</v>
      </c>
      <c r="AE418" t="str">
        <f t="shared" si="393"/>
        <v>21,0353732052265</v>
      </c>
      <c r="AF418" t="str">
        <f t="shared" si="375"/>
        <v>1+339,292006587698i</v>
      </c>
      <c r="AG418">
        <f t="shared" si="394"/>
        <v>339.29348024137818</v>
      </c>
      <c r="AH418">
        <f t="shared" si="395"/>
        <v>1.5678490215679937</v>
      </c>
      <c r="AI418" t="str">
        <f t="shared" si="376"/>
        <v>1+18,8495559215388i</v>
      </c>
      <c r="AJ418">
        <f t="shared" si="396"/>
        <v>18.876063107523731</v>
      </c>
      <c r="AK418">
        <f t="shared" si="397"/>
        <v>1.5177943661052453</v>
      </c>
      <c r="AL418" t="str">
        <f t="shared" si="377"/>
        <v>1-1,28254983016186i</v>
      </c>
      <c r="AM418">
        <f t="shared" si="398"/>
        <v>1.6263253262641568</v>
      </c>
      <c r="AN418">
        <f t="shared" si="399"/>
        <v>-0.9085585702353457</v>
      </c>
      <c r="AO418" s="58" t="str">
        <f t="shared" si="400"/>
        <v>1,09370726379054-1,55760292043205i</v>
      </c>
      <c r="AP418">
        <f t="shared" si="401"/>
        <v>5.589871058914671</v>
      </c>
      <c r="AQ418" s="60">
        <f t="shared" si="402"/>
        <v>-54.924492017922631</v>
      </c>
      <c r="AR418" t="str">
        <f t="shared" si="378"/>
        <v>-1,05811623246493</v>
      </c>
      <c r="AS418" t="str">
        <f t="shared" si="379"/>
        <v>1+18,5781223162686i</v>
      </c>
      <c r="AT418">
        <f t="shared" si="403"/>
        <v>18.605016226766303</v>
      </c>
      <c r="AU418">
        <f t="shared" si="404"/>
        <v>1.5170214681031942</v>
      </c>
      <c r="AV418" t="str">
        <f t="shared" si="380"/>
        <v>1+18,5781223162686i</v>
      </c>
      <c r="AW418">
        <f t="shared" si="405"/>
        <v>18.605016226766303</v>
      </c>
      <c r="AX418">
        <f t="shared" si="406"/>
        <v>1.5170214681031942</v>
      </c>
      <c r="AY418" t="str">
        <f t="shared" si="381"/>
        <v>1-0,00137013552937238i</v>
      </c>
      <c r="AZ418">
        <f t="shared" si="407"/>
        <v>1.000000938635244</v>
      </c>
      <c r="BA418">
        <f t="shared" si="408"/>
        <v>-1.3701346720012789E-3</v>
      </c>
      <c r="BB418" s="58" t="str">
        <f t="shared" si="409"/>
        <v>-0,00297903338914364+0,0567946093320646i</v>
      </c>
      <c r="BC418">
        <f t="shared" si="410"/>
        <v>-24.901925371653647</v>
      </c>
      <c r="BD418" s="60">
        <f t="shared" si="411"/>
        <v>93.002569512876732</v>
      </c>
      <c r="BE418" s="58" t="str">
        <f t="shared" si="412"/>
        <v>0,00385210160861931-0,0123213841077367i</v>
      </c>
      <c r="BF418" s="37">
        <f t="shared" si="413"/>
        <v>-37.781811487655929</v>
      </c>
      <c r="BG418" s="60">
        <f t="shared" si="414"/>
        <v>-72.638904770230369</v>
      </c>
      <c r="BH418" s="58" t="str">
        <f t="shared" si="415"/>
        <v>0,0852052589036402+0,0667568278776198i</v>
      </c>
      <c r="BI418" s="37">
        <f t="shared" si="416"/>
        <v>-19.312054312738972</v>
      </c>
      <c r="BJ418" s="60">
        <f t="shared" si="417"/>
        <v>38.07807749495413</v>
      </c>
      <c r="BK418">
        <f t="shared" si="418"/>
        <v>-37.781811487655929</v>
      </c>
      <c r="BL418" s="60">
        <f t="shared" si="419"/>
        <v>-72.638904770230369</v>
      </c>
      <c r="BN418">
        <f t="shared" si="420"/>
        <v>0</v>
      </c>
      <c r="BO418">
        <f t="shared" si="421"/>
        <v>0</v>
      </c>
    </row>
    <row r="419" spans="13:67" x14ac:dyDescent="0.25">
      <c r="M419" s="66">
        <v>1</v>
      </c>
      <c r="N419" s="36">
        <f>10^(5+(M419/100))</f>
        <v>102329.29922807543</v>
      </c>
      <c r="O419" s="91" t="str">
        <f t="shared" si="370"/>
        <v>13,7404580152672</v>
      </c>
      <c r="P419" s="67" t="str">
        <f t="shared" si="371"/>
        <v>1+694,390265356133i</v>
      </c>
      <c r="Q419" s="67">
        <f t="shared" si="382"/>
        <v>694.39098541193698</v>
      </c>
      <c r="R419" s="67">
        <f t="shared" si="383"/>
        <v>1.5693562154359333</v>
      </c>
      <c r="S419" s="67" t="str">
        <f t="shared" si="372"/>
        <v>1+19,2886184821148i</v>
      </c>
      <c r="T419" s="67">
        <f t="shared" si="384"/>
        <v>19.314523109530317</v>
      </c>
      <c r="U419" s="67">
        <f t="shared" si="385"/>
        <v>1.5189986561620863</v>
      </c>
      <c r="V419" t="str">
        <f t="shared" si="373"/>
        <v>1-4,01846218377392i</v>
      </c>
      <c r="W419" s="67">
        <f t="shared" si="386"/>
        <v>4.1410189956604952</v>
      </c>
      <c r="X419" s="67">
        <f t="shared" si="387"/>
        <v>-1.3268989767840615</v>
      </c>
      <c r="Y419" t="str">
        <f t="shared" si="374"/>
        <v>0,329837729247423+6,97269651999773i</v>
      </c>
      <c r="Z419" s="67">
        <f t="shared" si="388"/>
        <v>6.980493513185408</v>
      </c>
      <c r="AA419" s="67">
        <f t="shared" si="389"/>
        <v>1.5235273780213985</v>
      </c>
      <c r="AB419" s="92" t="str">
        <f t="shared" si="390"/>
        <v>-0,220184369013241-0,0540715660295183i</v>
      </c>
      <c r="AC419" s="37">
        <f t="shared" si="391"/>
        <v>-12.889955606900065</v>
      </c>
      <c r="AD419" s="60">
        <f t="shared" si="392"/>
        <v>-166.20267555618395</v>
      </c>
      <c r="AE419" t="str">
        <f t="shared" si="393"/>
        <v>21,0353732052265</v>
      </c>
      <c r="AF419" t="str">
        <f t="shared" si="375"/>
        <v>1+347,195132678067i</v>
      </c>
      <c r="AG419">
        <f t="shared" si="394"/>
        <v>347.19657278743489</v>
      </c>
      <c r="AH419">
        <f t="shared" si="395"/>
        <v>1.5679161100502985</v>
      </c>
      <c r="AI419" t="str">
        <f t="shared" si="376"/>
        <v>1+19,2886184821148i</v>
      </c>
      <c r="AJ419">
        <f t="shared" si="396"/>
        <v>19.314523109530317</v>
      </c>
      <c r="AK419">
        <f t="shared" si="397"/>
        <v>1.5189986561620863</v>
      </c>
      <c r="AL419" t="str">
        <f t="shared" si="377"/>
        <v>1-1,31242425345551i</v>
      </c>
      <c r="AM419">
        <f t="shared" si="398"/>
        <v>1.6499870972399306</v>
      </c>
      <c r="AN419">
        <f t="shared" si="399"/>
        <v>-0.91969178350899117</v>
      </c>
      <c r="AO419" s="58" t="str">
        <f t="shared" si="400"/>
        <v>1,09369946738111-1,59117727782989i</v>
      </c>
      <c r="AP419">
        <f t="shared" si="401"/>
        <v>5.7147865930335984</v>
      </c>
      <c r="AQ419" s="60">
        <f t="shared" si="402"/>
        <v>-55.497221300245009</v>
      </c>
      <c r="AR419" t="str">
        <f t="shared" si="378"/>
        <v>-1,05811623246493</v>
      </c>
      <c r="AS419" t="str">
        <f t="shared" si="379"/>
        <v>1+19,0108623759724i</v>
      </c>
      <c r="AT419">
        <f t="shared" si="403"/>
        <v>19.037144961316102</v>
      </c>
      <c r="AU419">
        <f t="shared" si="404"/>
        <v>1.5182432546496702</v>
      </c>
      <c r="AV419" t="str">
        <f t="shared" si="380"/>
        <v>1+19,0108623759724i</v>
      </c>
      <c r="AW419">
        <f t="shared" si="405"/>
        <v>19.037144961316102</v>
      </c>
      <c r="AX419">
        <f t="shared" si="406"/>
        <v>1.5182432546496702</v>
      </c>
      <c r="AY419" t="str">
        <f t="shared" si="381"/>
        <v>1-0,00133894743705668i</v>
      </c>
      <c r="AZ419">
        <f t="shared" si="407"/>
        <v>1.0000008963897178</v>
      </c>
      <c r="BA419">
        <f t="shared" si="408"/>
        <v>-1.3389466369113719E-3</v>
      </c>
      <c r="BB419" s="58" t="str">
        <f t="shared" si="409"/>
        <v>-0,00284532476101676+0,0555088394642032i</v>
      </c>
      <c r="BC419">
        <f t="shared" si="410"/>
        <v>-25.101361014260448</v>
      </c>
      <c r="BD419" s="60">
        <f t="shared" si="411"/>
        <v>92.934353243079741</v>
      </c>
      <c r="BE419" s="58" t="str">
        <f t="shared" si="412"/>
        <v>0,00362794591545282-0,0120683276263921i</v>
      </c>
      <c r="BF419" s="37">
        <f t="shared" si="413"/>
        <v>-37.991316621160529</v>
      </c>
      <c r="BG419" s="60">
        <f t="shared" si="414"/>
        <v>-73.268322313104164</v>
      </c>
      <c r="BH419" s="58" t="str">
        <f t="shared" si="415"/>
        <v>0,0852124738984969+0,0652374042647192i</v>
      </c>
      <c r="BI419" s="37">
        <f t="shared" si="416"/>
        <v>-19.386574421226847</v>
      </c>
      <c r="BJ419" s="60">
        <f t="shared" si="417"/>
        <v>37.437131942834732</v>
      </c>
      <c r="BK419">
        <f t="shared" si="418"/>
        <v>-37.991316621160529</v>
      </c>
      <c r="BL419" s="60">
        <f t="shared" si="419"/>
        <v>-73.268322313104164</v>
      </c>
      <c r="BN419">
        <f t="shared" si="420"/>
        <v>0</v>
      </c>
      <c r="BO419">
        <f t="shared" si="421"/>
        <v>0</v>
      </c>
    </row>
    <row r="420" spans="13:67" x14ac:dyDescent="0.25">
      <c r="M420" s="66">
        <v>2</v>
      </c>
      <c r="N420" s="36">
        <f t="shared" ref="N420:N483" si="422">10^(5+(M420/100))</f>
        <v>104712.85480508996</v>
      </c>
      <c r="O420" s="91" t="str">
        <f t="shared" si="370"/>
        <v>13,7404580152672</v>
      </c>
      <c r="P420" s="67" t="str">
        <f t="shared" si="371"/>
        <v>1+710,564692446905i</v>
      </c>
      <c r="Q420" s="67">
        <f t="shared" si="382"/>
        <v>710.56539611225435</v>
      </c>
      <c r="R420" s="67">
        <f t="shared" si="383"/>
        <v>1.5693889963288088</v>
      </c>
      <c r="S420" s="67" t="str">
        <f t="shared" si="372"/>
        <v>1+19,7379081235251i</v>
      </c>
      <c r="T420" s="67">
        <f t="shared" si="384"/>
        <v>19.763223853731915</v>
      </c>
      <c r="U420" s="67">
        <f t="shared" si="385"/>
        <v>1.5201756785586333</v>
      </c>
      <c r="V420" t="str">
        <f t="shared" si="373"/>
        <v>1-4,11206419240107i</v>
      </c>
      <c r="W420" s="67">
        <f t="shared" si="386"/>
        <v>4.2319111430212075</v>
      </c>
      <c r="X420" s="67">
        <f t="shared" si="387"/>
        <v>-1.332240233728532</v>
      </c>
      <c r="Y420" t="str">
        <f t="shared" si="374"/>
        <v>0,298253954468359+7,13511148621409i</v>
      </c>
      <c r="Z420" s="67">
        <f t="shared" si="388"/>
        <v>7.1413424047625842</v>
      </c>
      <c r="AA420" s="67">
        <f t="shared" si="389"/>
        <v>1.5290197655560724</v>
      </c>
      <c r="AB420" s="92" t="str">
        <f t="shared" si="390"/>
        <v>-0,220448780608137-0,0518769713882914i</v>
      </c>
      <c r="AC420" s="37">
        <f t="shared" si="391"/>
        <v>-12.899767419499891</v>
      </c>
      <c r="AD420" s="60">
        <f t="shared" si="392"/>
        <v>-166.75783745267998</v>
      </c>
      <c r="AE420" t="str">
        <f t="shared" si="393"/>
        <v>21,0353732052265</v>
      </c>
      <c r="AF420" t="str">
        <f t="shared" si="375"/>
        <v>1+355,282346223453i</v>
      </c>
      <c r="AG420">
        <f t="shared" si="394"/>
        <v>355.28375355206089</v>
      </c>
      <c r="AH420">
        <f t="shared" si="395"/>
        <v>1.5679816714373571</v>
      </c>
      <c r="AI420" t="str">
        <f t="shared" si="376"/>
        <v>1+19,7379081235251i</v>
      </c>
      <c r="AJ420">
        <f t="shared" si="396"/>
        <v>19.763223853731915</v>
      </c>
      <c r="AK420">
        <f t="shared" si="397"/>
        <v>1.5201756785586333</v>
      </c>
      <c r="AL420" t="str">
        <f t="shared" si="377"/>
        <v>1-1,34299454146032i</v>
      </c>
      <c r="AM420">
        <f t="shared" si="398"/>
        <v>1.674405667212165</v>
      </c>
      <c r="AN420">
        <f t="shared" si="399"/>
        <v>-0.93075718457810075</v>
      </c>
      <c r="AO420" s="58" t="str">
        <f t="shared" si="400"/>
        <v>1,09369202186222-1,62559529646031i</v>
      </c>
      <c r="AP420">
        <f t="shared" si="401"/>
        <v>5.8418669636040201</v>
      </c>
      <c r="AQ420" s="60">
        <f t="shared" si="402"/>
        <v>-56.067540055187514</v>
      </c>
      <c r="AR420" t="str">
        <f t="shared" si="378"/>
        <v>-1,05811623246493</v>
      </c>
      <c r="AS420" t="str">
        <f t="shared" si="379"/>
        <v>1+19,4536822465464i</v>
      </c>
      <c r="AT420">
        <f t="shared" si="403"/>
        <v>19.479367365230182</v>
      </c>
      <c r="AU420">
        <f t="shared" si="404"/>
        <v>1.5194373817065836</v>
      </c>
      <c r="AV420" t="str">
        <f t="shared" si="380"/>
        <v>1+19,4536822465464i</v>
      </c>
      <c r="AW420">
        <f t="shared" si="405"/>
        <v>19.479367365230182</v>
      </c>
      <c r="AX420">
        <f t="shared" si="406"/>
        <v>1.5194373817065836</v>
      </c>
      <c r="AY420" t="str">
        <f t="shared" si="381"/>
        <v>1-0,00130846927239517i</v>
      </c>
      <c r="AZ420">
        <f t="shared" si="407"/>
        <v>1.000000856045552</v>
      </c>
      <c r="BA420">
        <f t="shared" si="408"/>
        <v>-1.3084685256560839E-3</v>
      </c>
      <c r="BB420" s="58" t="str">
        <f t="shared" si="409"/>
        <v>-0,00271760154571144+0,0542518695197966i</v>
      </c>
      <c r="BC420">
        <f t="shared" si="410"/>
        <v>-25.300821988575994</v>
      </c>
      <c r="BD420" s="60">
        <f t="shared" si="411"/>
        <v>92.867681069658687</v>
      </c>
      <c r="BE420" s="58" t="str">
        <f t="shared" si="412"/>
        <v>0,00341351462977068-0,0118187775437193i</v>
      </c>
      <c r="BF420" s="37">
        <f t="shared" si="413"/>
        <v>-38.200589408075864</v>
      </c>
      <c r="BG420" s="60">
        <f t="shared" si="414"/>
        <v>-73.890156383021349</v>
      </c>
      <c r="BH420" s="58" t="str">
        <f t="shared" si="415"/>
        <v>0,0852193647864148+0,0637525571552735i</v>
      </c>
      <c r="BI420" s="37">
        <f t="shared" si="416"/>
        <v>-19.458955024971971</v>
      </c>
      <c r="BJ420" s="60">
        <f t="shared" si="417"/>
        <v>36.80014101447118</v>
      </c>
      <c r="BK420">
        <f t="shared" si="418"/>
        <v>-38.200589408075864</v>
      </c>
      <c r="BL420" s="60">
        <f t="shared" si="419"/>
        <v>-73.890156383021349</v>
      </c>
      <c r="BN420">
        <f t="shared" si="420"/>
        <v>0</v>
      </c>
      <c r="BO420">
        <f t="shared" si="421"/>
        <v>0</v>
      </c>
    </row>
    <row r="421" spans="13:67" x14ac:dyDescent="0.25">
      <c r="M421" s="66">
        <v>3</v>
      </c>
      <c r="N421" s="36">
        <f t="shared" si="422"/>
        <v>107151.93052376082</v>
      </c>
      <c r="O421" s="91" t="str">
        <f t="shared" si="370"/>
        <v>13,7404580152672</v>
      </c>
      <c r="P421" s="67" t="str">
        <f t="shared" si="371"/>
        <v>1+727,115870343048i</v>
      </c>
      <c r="Q421" s="67">
        <f t="shared" si="382"/>
        <v>727.11655799103357</v>
      </c>
      <c r="R421" s="67">
        <f t="shared" si="383"/>
        <v>1.5694210310403856</v>
      </c>
      <c r="S421" s="67" t="str">
        <f t="shared" si="372"/>
        <v>1+20,1976630650847i</v>
      </c>
      <c r="T421" s="67">
        <f t="shared" si="384"/>
        <v>20.222403252103511</v>
      </c>
      <c r="U421" s="67">
        <f t="shared" si="385"/>
        <v>1.5213260443153347</v>
      </c>
      <c r="V421" t="str">
        <f t="shared" si="373"/>
        <v>1-4,20784647189264i</v>
      </c>
      <c r="W421" s="67">
        <f t="shared" si="386"/>
        <v>4.3250401074463269</v>
      </c>
      <c r="X421" s="67">
        <f t="shared" si="387"/>
        <v>-1.3374733510490922</v>
      </c>
      <c r="Y421" t="str">
        <f t="shared" si="374"/>
        <v>0,26518168224199+7,3013095829848i</v>
      </c>
      <c r="Z421" s="67">
        <f t="shared" si="388"/>
        <v>7.3061236610929585</v>
      </c>
      <c r="AA421" s="67">
        <f t="shared" si="389"/>
        <v>1.5344925419804558</v>
      </c>
      <c r="AB421" s="92" t="str">
        <f t="shared" si="390"/>
        <v>-0,220692690237861-0,0497062493898909i</v>
      </c>
      <c r="AC421" s="37">
        <f t="shared" si="391"/>
        <v>-12.909338765453665</v>
      </c>
      <c r="AD421" s="60">
        <f t="shared" si="392"/>
        <v>-167.3071643311967</v>
      </c>
      <c r="AE421" t="str">
        <f t="shared" si="393"/>
        <v>21,0353732052265</v>
      </c>
      <c r="AF421" t="str">
        <f t="shared" si="375"/>
        <v>1+363,557935171524i</v>
      </c>
      <c r="AG421">
        <f t="shared" si="394"/>
        <v>363.55931046554429</v>
      </c>
      <c r="AH421">
        <f t="shared" si="395"/>
        <v>1.5680457404884292</v>
      </c>
      <c r="AI421" t="str">
        <f t="shared" si="376"/>
        <v>1+20,1976630650847i</v>
      </c>
      <c r="AJ421">
        <f t="shared" si="396"/>
        <v>20.222403252103511</v>
      </c>
      <c r="AK421">
        <f t="shared" si="397"/>
        <v>1.5213260443153347</v>
      </c>
      <c r="AL421" t="str">
        <f t="shared" si="377"/>
        <v>1-1,37427690294765i</v>
      </c>
      <c r="AM421">
        <f t="shared" si="398"/>
        <v>1.6995990721271252</v>
      </c>
      <c r="AN421">
        <f t="shared" si="399"/>
        <v>-0.9417498018189242</v>
      </c>
      <c r="AO421" s="58" t="str">
        <f t="shared" si="400"/>
        <v>1,0936849114417-1,66087522534733i</v>
      </c>
      <c r="AP421">
        <f t="shared" si="401"/>
        <v>5.9710840437840034</v>
      </c>
      <c r="AQ421" s="60">
        <f t="shared" si="402"/>
        <v>-56.635130412357853</v>
      </c>
      <c r="AR421" t="str">
        <f t="shared" si="378"/>
        <v>-1,05811623246493</v>
      </c>
      <c r="AS421" t="str">
        <f t="shared" si="379"/>
        <v>1+19,9068167169475i</v>
      </c>
      <c r="AT421">
        <f t="shared" si="403"/>
        <v>19.931917915798778</v>
      </c>
      <c r="AU421">
        <f t="shared" si="404"/>
        <v>1.5206044687861544</v>
      </c>
      <c r="AV421" t="str">
        <f t="shared" si="380"/>
        <v>1+19,9068167169475i</v>
      </c>
      <c r="AW421">
        <f t="shared" si="405"/>
        <v>19.931917915798778</v>
      </c>
      <c r="AX421">
        <f t="shared" si="406"/>
        <v>1.5206044687861544</v>
      </c>
      <c r="AY421" t="str">
        <f t="shared" si="381"/>
        <v>1-0,00127868487546153i</v>
      </c>
      <c r="AZ421">
        <f t="shared" si="407"/>
        <v>1.0000008175171713</v>
      </c>
      <c r="BA421">
        <f t="shared" si="408"/>
        <v>-1.278684178564034E-3</v>
      </c>
      <c r="BB421" s="58" t="str">
        <f t="shared" si="409"/>
        <v>-0,00259559720095552+0,0530230749733766i</v>
      </c>
      <c r="BC421">
        <f t="shared" si="410"/>
        <v>-25.500307160502484</v>
      </c>
      <c r="BD421" s="60">
        <f t="shared" si="411"/>
        <v>92.802518423058956</v>
      </c>
      <c r="BE421" s="58" t="str">
        <f t="shared" si="412"/>
        <v>0,00320840751709828-0,0115727876587719i</v>
      </c>
      <c r="BF421" s="37">
        <f t="shared" si="413"/>
        <v>-38.409645925956141</v>
      </c>
      <c r="BG421" s="60">
        <f t="shared" si="414"/>
        <v>-74.504645908137746</v>
      </c>
      <c r="BH421" s="58" t="str">
        <f t="shared" si="415"/>
        <v>0,0852259461001499+0,0623015001426719i</v>
      </c>
      <c r="BI421" s="37">
        <f t="shared" si="416"/>
        <v>-19.52922311671848</v>
      </c>
      <c r="BJ421" s="60">
        <f t="shared" si="417"/>
        <v>36.16738801070111</v>
      </c>
      <c r="BK421">
        <f t="shared" si="418"/>
        <v>-38.409645925956141</v>
      </c>
      <c r="BL421" s="60">
        <f t="shared" si="419"/>
        <v>-74.504645908137746</v>
      </c>
      <c r="BN421">
        <f t="shared" si="420"/>
        <v>0</v>
      </c>
      <c r="BO421">
        <f t="shared" si="421"/>
        <v>0</v>
      </c>
    </row>
    <row r="422" spans="13:67" x14ac:dyDescent="0.25">
      <c r="M422" s="66">
        <v>4</v>
      </c>
      <c r="N422" s="36">
        <f t="shared" si="422"/>
        <v>109647.81961431868</v>
      </c>
      <c r="O422" s="91" t="str">
        <f t="shared" si="370"/>
        <v>13,7404580152672</v>
      </c>
      <c r="P422" s="67" t="str">
        <f t="shared" si="371"/>
        <v>1+744,052574698162i</v>
      </c>
      <c r="Q422" s="67">
        <f t="shared" si="382"/>
        <v>744.05324669338279</v>
      </c>
      <c r="R422" s="67">
        <f t="shared" si="383"/>
        <v>1.5694523365556285</v>
      </c>
      <c r="S422" s="67" t="str">
        <f t="shared" si="372"/>
        <v>1+20,668127074949i</v>
      </c>
      <c r="T422" s="67">
        <f t="shared" si="384"/>
        <v>20.692304772215198</v>
      </c>
      <c r="U422" s="67">
        <f t="shared" si="385"/>
        <v>1.5224503511858121</v>
      </c>
      <c r="V422" t="str">
        <f t="shared" si="373"/>
        <v>1-4,30585980728103i</v>
      </c>
      <c r="W422" s="67">
        <f t="shared" si="386"/>
        <v>4.4204557095347345</v>
      </c>
      <c r="X422" s="67">
        <f t="shared" si="387"/>
        <v>-1.3425999564192785</v>
      </c>
      <c r="Y422" t="str">
        <f t="shared" si="374"/>
        <v>0,230550761844851+7,47137893074066i</v>
      </c>
      <c r="Z422" s="67">
        <f t="shared" si="388"/>
        <v>7.4749352358734651</v>
      </c>
      <c r="AA422" s="67">
        <f t="shared" si="389"/>
        <v>1.5399482559939093</v>
      </c>
      <c r="AB422" s="92" t="str">
        <f t="shared" si="390"/>
        <v>-0,220916544408317-0,0475586090955541i</v>
      </c>
      <c r="AC422" s="37">
        <f t="shared" si="391"/>
        <v>-12.918686617858487</v>
      </c>
      <c r="AD422" s="60">
        <f t="shared" si="392"/>
        <v>-167.85086220468173</v>
      </c>
      <c r="AE422" t="str">
        <f t="shared" si="393"/>
        <v>21,0353732052265</v>
      </c>
      <c r="AF422" t="str">
        <f t="shared" si="375"/>
        <v>1+372,026287349081i</v>
      </c>
      <c r="AG422">
        <f t="shared" si="394"/>
        <v>372.02763133770179</v>
      </c>
      <c r="AH422">
        <f t="shared" si="395"/>
        <v>1.5681083511716682</v>
      </c>
      <c r="AI422" t="str">
        <f t="shared" si="376"/>
        <v>1+20,668127074949i</v>
      </c>
      <c r="AJ422">
        <f t="shared" si="396"/>
        <v>20.692304772215198</v>
      </c>
      <c r="AK422">
        <f t="shared" si="397"/>
        <v>1.5224503511858121</v>
      </c>
      <c r="AL422" t="str">
        <f t="shared" si="377"/>
        <v>1-1,40628792423963i</v>
      </c>
      <c r="AM422">
        <f t="shared" si="398"/>
        <v>1.7255856182357938</v>
      </c>
      <c r="AN422">
        <f t="shared" si="399"/>
        <v>-0.95266483740474872</v>
      </c>
      <c r="AO422" s="58" t="str">
        <f t="shared" si="400"/>
        <v>1,09367812103808-1,69703577050216i</v>
      </c>
      <c r="AP422">
        <f t="shared" si="401"/>
        <v>6.1024080677736583</v>
      </c>
      <c r="AQ422" s="60">
        <f t="shared" si="402"/>
        <v>-57.199685174006866</v>
      </c>
      <c r="AR422" t="str">
        <f t="shared" si="378"/>
        <v>-1,05811623246493</v>
      </c>
      <c r="AS422" t="str">
        <f t="shared" si="379"/>
        <v>1+20,3705060450697i</v>
      </c>
      <c r="AT422">
        <f t="shared" si="403"/>
        <v>20.39503656609179</v>
      </c>
      <c r="AU422">
        <f t="shared" si="404"/>
        <v>1.5217451219687386</v>
      </c>
      <c r="AV422" t="str">
        <f t="shared" si="380"/>
        <v>1+20,3705060450697i</v>
      </c>
      <c r="AW422">
        <f t="shared" si="405"/>
        <v>20.39503656609179</v>
      </c>
      <c r="AX422">
        <f t="shared" si="406"/>
        <v>1.5217451219687386</v>
      </c>
      <c r="AY422" t="str">
        <f t="shared" si="381"/>
        <v>1-0,00124957845417425i</v>
      </c>
      <c r="AZ422">
        <f t="shared" si="407"/>
        <v>1.0000007807228517</v>
      </c>
      <c r="BA422">
        <f t="shared" si="408"/>
        <v>-1.2495778037916359E-3</v>
      </c>
      <c r="BB422" s="58" t="str">
        <f t="shared" si="409"/>
        <v>-0,00247905693188641+0,0518218434631643i</v>
      </c>
      <c r="BC422">
        <f t="shared" si="410"/>
        <v>-25.699815446457336</v>
      </c>
      <c r="BD422" s="60">
        <f t="shared" si="411"/>
        <v>92.738831482240087</v>
      </c>
      <c r="BE422" s="58" t="str">
        <f t="shared" si="412"/>
        <v>0,00301223948665946-0,0113304020832018i</v>
      </c>
      <c r="BF422" s="37">
        <f t="shared" si="413"/>
        <v>-38.618502064315813</v>
      </c>
      <c r="BG422" s="60">
        <f t="shared" si="414"/>
        <v>-75.112030722441659</v>
      </c>
      <c r="BH422" s="58" t="str">
        <f t="shared" si="415"/>
        <v>0,0852322317231414+0,0608834646780456i</v>
      </c>
      <c r="BI422" s="37">
        <f t="shared" si="416"/>
        <v>-19.597407378683677</v>
      </c>
      <c r="BJ422" s="60">
        <f t="shared" si="417"/>
        <v>35.539146308233228</v>
      </c>
      <c r="BK422">
        <f t="shared" si="418"/>
        <v>-38.618502064315813</v>
      </c>
      <c r="BL422" s="60">
        <f t="shared" si="419"/>
        <v>-75.112030722441659</v>
      </c>
      <c r="BN422">
        <f t="shared" si="420"/>
        <v>0</v>
      </c>
      <c r="BO422">
        <f t="shared" si="421"/>
        <v>0</v>
      </c>
    </row>
    <row r="423" spans="13:67" x14ac:dyDescent="0.25">
      <c r="M423" s="66">
        <v>5</v>
      </c>
      <c r="N423" s="36">
        <f t="shared" si="422"/>
        <v>112201.84543019651</v>
      </c>
      <c r="O423" s="91" t="str">
        <f t="shared" si="370"/>
        <v>13,7404580152672</v>
      </c>
      <c r="P423" s="67" t="str">
        <f t="shared" si="371"/>
        <v>1+761,383785577082i</v>
      </c>
      <c r="Q423" s="67">
        <f t="shared" si="382"/>
        <v>761.38444227583739</v>
      </c>
      <c r="R423" s="67">
        <f t="shared" si="383"/>
        <v>1.5694829294728905</v>
      </c>
      <c r="S423" s="67" t="str">
        <f t="shared" si="372"/>
        <v>1+21,1495495993634i</v>
      </c>
      <c r="T423" s="67">
        <f t="shared" si="384"/>
        <v>21.173177566343995</v>
      </c>
      <c r="U423" s="67">
        <f t="shared" si="385"/>
        <v>1.5235491839164064</v>
      </c>
      <c r="V423" t="str">
        <f t="shared" si="373"/>
        <v>1-4,40615616653404i</v>
      </c>
      <c r="W423" s="67">
        <f t="shared" si="386"/>
        <v>4.5182089553146989</v>
      </c>
      <c r="X423" s="67">
        <f t="shared" si="387"/>
        <v>-1.3476216896526927</v>
      </c>
      <c r="Y423" t="str">
        <f t="shared" si="374"/>
        <v>0,194287736451728+7,64540970250099i</v>
      </c>
      <c r="Z423" s="67">
        <f t="shared" si="388"/>
        <v>7.6478779568996664</v>
      </c>
      <c r="AA423" s="67">
        <f t="shared" si="389"/>
        <v>1.545389456871495</v>
      </c>
      <c r="AB423" s="92" t="str">
        <f t="shared" si="390"/>
        <v>-0,221120755507387-0,045433257945007i</v>
      </c>
      <c r="AC423" s="37">
        <f t="shared" si="391"/>
        <v>-12.927827724200991</v>
      </c>
      <c r="AD423" s="60">
        <f t="shared" si="392"/>
        <v>-168.38913853775375</v>
      </c>
      <c r="AE423" t="str">
        <f t="shared" si="393"/>
        <v>21,0353732052265</v>
      </c>
      <c r="AF423" t="str">
        <f t="shared" si="375"/>
        <v>1+380,691892788541i</v>
      </c>
      <c r="AG423">
        <f t="shared" si="394"/>
        <v>380.69320618435262</v>
      </c>
      <c r="AH423">
        <f t="shared" si="395"/>
        <v>1.5681695366821227</v>
      </c>
      <c r="AI423" t="str">
        <f t="shared" si="376"/>
        <v>1+21,1495495993634i</v>
      </c>
      <c r="AJ423">
        <f t="shared" si="396"/>
        <v>21.173177566343995</v>
      </c>
      <c r="AK423">
        <f t="shared" si="397"/>
        <v>1.5235491839164064</v>
      </c>
      <c r="AL423" t="str">
        <f t="shared" si="377"/>
        <v>1-1,43904457800346i</v>
      </c>
      <c r="AM423">
        <f t="shared" si="398"/>
        <v>1.7523838898714961</v>
      </c>
      <c r="AN423">
        <f t="shared" si="399"/>
        <v>-0.96349767568962552</v>
      </c>
      <c r="AO423" s="58" t="str">
        <f t="shared" si="400"/>
        <v>1,09367163624865-1,73409610484201i</v>
      </c>
      <c r="AP423">
        <f t="shared" si="401"/>
        <v>6.2358077342042719</v>
      </c>
      <c r="AQ423" s="60">
        <f t="shared" si="402"/>
        <v>-57.760908281540573</v>
      </c>
      <c r="AR423" t="str">
        <f t="shared" si="378"/>
        <v>-1,05811623246493</v>
      </c>
      <c r="AS423" t="str">
        <f t="shared" si="379"/>
        <v>1+20,8449960851326i</v>
      </c>
      <c r="AT423">
        <f t="shared" si="403"/>
        <v>20.868968872208164</v>
      </c>
      <c r="AU423">
        <f t="shared" si="404"/>
        <v>1.5228599341642721</v>
      </c>
      <c r="AV423" t="str">
        <f t="shared" si="380"/>
        <v>1+20,8449960851326i</v>
      </c>
      <c r="AW423">
        <f t="shared" si="405"/>
        <v>20.868968872208164</v>
      </c>
      <c r="AX423">
        <f t="shared" si="406"/>
        <v>1.5228599341642721</v>
      </c>
      <c r="AY423" t="str">
        <f t="shared" si="381"/>
        <v>1-0,0012211345759235i</v>
      </c>
      <c r="AZ423">
        <f t="shared" si="407"/>
        <v>1.0000007455845483</v>
      </c>
      <c r="BA423">
        <f t="shared" si="408"/>
        <v>-1.2211339689511028E-3</v>
      </c>
      <c r="BB423" s="58" t="str">
        <f t="shared" si="409"/>
        <v>-0,00236773718405453+0,0506475746490484i</v>
      </c>
      <c r="BC423">
        <f t="shared" si="410"/>
        <v>-25.899345811146155</v>
      </c>
      <c r="BD423" s="60">
        <f t="shared" si="411"/>
        <v>92.676587160175842</v>
      </c>
      <c r="BE423" s="58" t="str">
        <f t="shared" si="412"/>
        <v>0,00282464015830028-0,0110916559567852i</v>
      </c>
      <c r="BF423" s="37">
        <f t="shared" si="413"/>
        <v>-38.827173535347164</v>
      </c>
      <c r="BG423" s="60">
        <f t="shared" si="414"/>
        <v>-75.712551377577881</v>
      </c>
      <c r="BH423" s="58" t="str">
        <f t="shared" si="415"/>
        <v>0,0852382349183181+0,059497699666609i</v>
      </c>
      <c r="BI423" s="37">
        <f t="shared" si="416"/>
        <v>-19.663538076941879</v>
      </c>
      <c r="BJ423" s="60">
        <f t="shared" si="417"/>
        <v>34.915678878635283</v>
      </c>
      <c r="BK423">
        <f t="shared" si="418"/>
        <v>-38.827173535347164</v>
      </c>
      <c r="BL423" s="60">
        <f t="shared" si="419"/>
        <v>-75.712551377577881</v>
      </c>
      <c r="BN423">
        <f t="shared" si="420"/>
        <v>0</v>
      </c>
      <c r="BO423">
        <f t="shared" si="421"/>
        <v>0</v>
      </c>
    </row>
    <row r="424" spans="13:67" x14ac:dyDescent="0.25">
      <c r="M424" s="66">
        <v>6</v>
      </c>
      <c r="N424" s="36">
        <f t="shared" si="422"/>
        <v>114815.36214968823</v>
      </c>
      <c r="O424" s="91" t="str">
        <f t="shared" si="370"/>
        <v>13,7404580152672</v>
      </c>
      <c r="P424" s="67" t="str">
        <f t="shared" si="371"/>
        <v>1+779,118692217218i</v>
      </c>
      <c r="Q424" s="67">
        <f t="shared" si="382"/>
        <v>779.11933396769723</v>
      </c>
      <c r="R424" s="67">
        <f t="shared" si="383"/>
        <v>1.5695128260127122</v>
      </c>
      <c r="S424" s="67" t="str">
        <f t="shared" si="372"/>
        <v>1+21,6421858949227i</v>
      </c>
      <c r="T424" s="67">
        <f t="shared" si="384"/>
        <v>21.665276603597544</v>
      </c>
      <c r="U424" s="67">
        <f t="shared" si="385"/>
        <v>1.5246231145026037</v>
      </c>
      <c r="V424" t="str">
        <f t="shared" si="373"/>
        <v>1-4,5087887281089i</v>
      </c>
      <c r="W424" s="67">
        <f t="shared" si="386"/>
        <v>4.6183520648302547</v>
      </c>
      <c r="X424" s="67">
        <f t="shared" si="387"/>
        <v>-1.3525401997878788</v>
      </c>
      <c r="Y424" t="str">
        <f t="shared" si="374"/>
        <v>0,156315687323899+7,82349417168453i</v>
      </c>
      <c r="Z424" s="67">
        <f t="shared" si="388"/>
        <v>7.8250556322933171</v>
      </c>
      <c r="AA424" s="67">
        <f t="shared" si="389"/>
        <v>1.5508186943148821</v>
      </c>
      <c r="AB424" s="92" t="str">
        <f t="shared" si="390"/>
        <v>-0,221305702202742-0,043329402744502i</v>
      </c>
      <c r="AC424" s="37">
        <f t="shared" si="391"/>
        <v>-12.936778620322739</v>
      </c>
      <c r="AD424" s="60">
        <f t="shared" si="392"/>
        <v>-168.92220205694733</v>
      </c>
      <c r="AE424" t="str">
        <f t="shared" si="393"/>
        <v>21,0353732052265</v>
      </c>
      <c r="AF424" t="str">
        <f t="shared" si="375"/>
        <v>1+389,559346108609i</v>
      </c>
      <c r="AG424">
        <f t="shared" si="394"/>
        <v>389.56062960798164</v>
      </c>
      <c r="AH424">
        <f t="shared" si="395"/>
        <v>1.5682293294593264</v>
      </c>
      <c r="AI424" t="str">
        <f t="shared" si="376"/>
        <v>1+21,6421858949227i</v>
      </c>
      <c r="AJ424">
        <f t="shared" si="396"/>
        <v>21.665276603597544</v>
      </c>
      <c r="AK424">
        <f t="shared" si="397"/>
        <v>1.5246231145026037</v>
      </c>
      <c r="AL424" t="str">
        <f t="shared" si="377"/>
        <v>1-1,47256423225055i</v>
      </c>
      <c r="AM424">
        <f t="shared" si="398"/>
        <v>1.7800127578485645</v>
      </c>
      <c r="AN424">
        <f t="shared" si="399"/>
        <v>-0.9742438906119395</v>
      </c>
      <c r="AO424" s="58" t="str">
        <f t="shared" si="400"/>
        <v>1,09366544331888-1,77207587835638i</v>
      </c>
      <c r="AP424">
        <f t="shared" si="401"/>
        <v>6.3712503129719922</v>
      </c>
      <c r="AQ424" s="60">
        <f t="shared" si="402"/>
        <v>-58.31851522602971</v>
      </c>
      <c r="AR424" t="str">
        <f t="shared" si="378"/>
        <v>-1,05811623246493</v>
      </c>
      <c r="AS424" t="str">
        <f t="shared" si="379"/>
        <v>1+21,3305384180358i</v>
      </c>
      <c r="AT424">
        <f t="shared" si="403"/>
        <v>21.353966123493343</v>
      </c>
      <c r="AU424">
        <f t="shared" si="404"/>
        <v>1.5239494853706734</v>
      </c>
      <c r="AV424" t="str">
        <f t="shared" si="380"/>
        <v>1+21,3305384180358i</v>
      </c>
      <c r="AW424">
        <f t="shared" si="405"/>
        <v>21.353966123493343</v>
      </c>
      <c r="AX424">
        <f t="shared" si="406"/>
        <v>1.5239494853706734</v>
      </c>
      <c r="AY424" t="str">
        <f t="shared" si="381"/>
        <v>1-0,00119333815938854i</v>
      </c>
      <c r="AZ424">
        <f t="shared" si="407"/>
        <v>1.0000007120277279</v>
      </c>
      <c r="BA424">
        <f t="shared" si="408"/>
        <v>-1.1933375929289169E-3</v>
      </c>
      <c r="BB424" s="58" t="str">
        <f t="shared" si="409"/>
        <v>-0,00226140515735756+0,0494996800650286i</v>
      </c>
      <c r="BC424">
        <f t="shared" si="410"/>
        <v>-26.098897265431077</v>
      </c>
      <c r="BD424" s="60">
        <f t="shared" si="411"/>
        <v>92.615753089517497</v>
      </c>
      <c r="BE424" s="58" t="str">
        <f t="shared" si="412"/>
        <v>0,00264525342957554-0,0108565761207706i</v>
      </c>
      <c r="BF424" s="37">
        <f t="shared" si="413"/>
        <v>-39.035675885753804</v>
      </c>
      <c r="BG424" s="60">
        <f t="shared" si="414"/>
        <v>-76.306448967429844</v>
      </c>
      <c r="BH424" s="58" t="str">
        <f t="shared" si="415"/>
        <v>0,0852439683556503+0,0581434710730063i</v>
      </c>
      <c r="BI424" s="37">
        <f t="shared" si="416"/>
        <v>-19.727646952459082</v>
      </c>
      <c r="BJ424" s="60">
        <f t="shared" si="417"/>
        <v>34.297237863487787</v>
      </c>
      <c r="BK424">
        <f t="shared" si="418"/>
        <v>-39.035675885753804</v>
      </c>
      <c r="BL424" s="60">
        <f t="shared" si="419"/>
        <v>-76.306448967429844</v>
      </c>
      <c r="BN424">
        <f t="shared" si="420"/>
        <v>0</v>
      </c>
      <c r="BO424">
        <f t="shared" si="421"/>
        <v>0</v>
      </c>
    </row>
    <row r="425" spans="13:67" x14ac:dyDescent="0.25">
      <c r="M425" s="66">
        <v>7</v>
      </c>
      <c r="N425" s="36">
        <f t="shared" si="422"/>
        <v>117489.75549395311</v>
      </c>
      <c r="O425" s="91" t="str">
        <f t="shared" si="370"/>
        <v>13,7404580152672</v>
      </c>
      <c r="P425" s="67" t="str">
        <f t="shared" si="371"/>
        <v>1+797,266697900826i</v>
      </c>
      <c r="Q425" s="67">
        <f t="shared" si="382"/>
        <v>797.26732504329254</v>
      </c>
      <c r="R425" s="67">
        <f t="shared" si="383"/>
        <v>1.569542042026421</v>
      </c>
      <c r="S425" s="67" t="str">
        <f t="shared" si="372"/>
        <v>1+22,1462971639119i</v>
      </c>
      <c r="T425" s="67">
        <f t="shared" si="384"/>
        <v>22.168862805121339</v>
      </c>
      <c r="U425" s="67">
        <f t="shared" si="385"/>
        <v>1.525672702442237</v>
      </c>
      <c r="V425" t="str">
        <f t="shared" si="373"/>
        <v>1-4,6138119091483i</v>
      </c>
      <c r="W425" s="67">
        <f t="shared" si="386"/>
        <v>4.7209385012938565</v>
      </c>
      <c r="X425" s="67">
        <f t="shared" si="387"/>
        <v>-1.3573571423537574</v>
      </c>
      <c r="Y425" t="str">
        <f t="shared" si="374"/>
        <v>0,116554070654151+8,00572676103412i</v>
      </c>
      <c r="Z425" s="67">
        <f t="shared" si="388"/>
        <v>8.00657516193559</v>
      </c>
      <c r="AA425" s="67">
        <f t="shared" si="389"/>
        <v>1.5562385183339236</v>
      </c>
      <c r="AB425" s="92" t="str">
        <f t="shared" si="390"/>
        <v>-0,221471729827202-0,0412462506134013i</v>
      </c>
      <c r="AC425" s="37">
        <f t="shared" si="391"/>
        <v>-12.945555645324852</v>
      </c>
      <c r="AD425" s="60">
        <f t="shared" si="392"/>
        <v>-169.45026257323471</v>
      </c>
      <c r="AE425" t="str">
        <f t="shared" si="393"/>
        <v>21,0353732052265</v>
      </c>
      <c r="AF425" t="str">
        <f t="shared" si="375"/>
        <v>1+398,633348950414i</v>
      </c>
      <c r="AG425">
        <f t="shared" si="394"/>
        <v>398.63460323386693</v>
      </c>
      <c r="AH425">
        <f t="shared" si="395"/>
        <v>1.5682877612044905</v>
      </c>
      <c r="AI425" t="str">
        <f t="shared" si="376"/>
        <v>1+22,1462971639119i</v>
      </c>
      <c r="AJ425">
        <f t="shared" si="396"/>
        <v>22.168862805121339</v>
      </c>
      <c r="AK425">
        <f t="shared" si="397"/>
        <v>1.525672702442237</v>
      </c>
      <c r="AL425" t="str">
        <f t="shared" si="377"/>
        <v>1-1,50686465954528i</v>
      </c>
      <c r="AM425">
        <f t="shared" si="398"/>
        <v>1.8084913884745242</v>
      </c>
      <c r="AN425">
        <f t="shared" si="399"/>
        <v>-0.98489925210666729</v>
      </c>
      <c r="AO425" s="58" t="str">
        <f t="shared" si="400"/>
        <v>1,09365952911328-1,81099522852631i</v>
      </c>
      <c r="AP425">
        <f t="shared" si="401"/>
        <v>6.5087017547388424</v>
      </c>
      <c r="AQ425" s="60">
        <f t="shared" si="402"/>
        <v>-58.872233402082465</v>
      </c>
      <c r="AR425" t="str">
        <f t="shared" si="378"/>
        <v>-1,05811623246493</v>
      </c>
      <c r="AS425" t="str">
        <f t="shared" si="379"/>
        <v>1+21,8273904847515i</v>
      </c>
      <c r="AT425">
        <f t="shared" si="403"/>
        <v>21.850285475796888</v>
      </c>
      <c r="AU425">
        <f t="shared" si="404"/>
        <v>1.5250143429290917</v>
      </c>
      <c r="AV425" t="str">
        <f t="shared" si="380"/>
        <v>1+21,8273904847515i</v>
      </c>
      <c r="AW425">
        <f t="shared" si="405"/>
        <v>21.850285475796888</v>
      </c>
      <c r="AX425">
        <f t="shared" si="406"/>
        <v>1.5250143429290917</v>
      </c>
      <c r="AY425" t="str">
        <f t="shared" si="381"/>
        <v>1-0,00116617446654138i</v>
      </c>
      <c r="AZ425">
        <f t="shared" si="407"/>
        <v>1.000000679981212</v>
      </c>
      <c r="BA425">
        <f t="shared" si="408"/>
        <v>-1.1661739378904803E-3</v>
      </c>
      <c r="BB425" s="58" t="str">
        <f t="shared" si="409"/>
        <v>-0,00215983834012594+0,0483775829667999i</v>
      </c>
      <c r="BC425">
        <f t="shared" si="410"/>
        <v>-26.29846886429241</v>
      </c>
      <c r="BD425" s="60">
        <f t="shared" si="411"/>
        <v>92.556297608427371</v>
      </c>
      <c r="BE425" s="58" t="str">
        <f t="shared" si="412"/>
        <v>0,00247373704445405-0,0106251817510549i</v>
      </c>
      <c r="BF425" s="37">
        <f t="shared" si="413"/>
        <v>-39.244024509617248</v>
      </c>
      <c r="BG425" s="60">
        <f t="shared" si="414"/>
        <v>-76.893964964807338</v>
      </c>
      <c r="BH425" s="58" t="str">
        <f t="shared" si="415"/>
        <v>0,0852494441384874+0,0568200615354653i</v>
      </c>
      <c r="BI425" s="37">
        <f t="shared" si="416"/>
        <v>-19.789767109553559</v>
      </c>
      <c r="BJ425" s="60">
        <f t="shared" si="417"/>
        <v>33.684064206344907</v>
      </c>
      <c r="BK425">
        <f t="shared" si="418"/>
        <v>-39.244024509617248</v>
      </c>
      <c r="BL425" s="60">
        <f t="shared" si="419"/>
        <v>-76.893964964807338</v>
      </c>
      <c r="BN425">
        <f t="shared" si="420"/>
        <v>0</v>
      </c>
      <c r="BO425">
        <f t="shared" si="421"/>
        <v>0</v>
      </c>
    </row>
    <row r="426" spans="13:67" x14ac:dyDescent="0.25">
      <c r="M426" s="66">
        <v>8</v>
      </c>
      <c r="N426" s="36">
        <f t="shared" si="422"/>
        <v>120226.44346174144</v>
      </c>
      <c r="O426" s="91" t="str">
        <f t="shared" si="370"/>
        <v>13,7404580152672</v>
      </c>
      <c r="P426" s="67" t="str">
        <f t="shared" si="371"/>
        <v>1+815,837424940733i</v>
      </c>
      <c r="Q426" s="67">
        <f t="shared" si="382"/>
        <v>815.83803780770484</v>
      </c>
      <c r="R426" s="67">
        <f t="shared" si="383"/>
        <v>1.5695705930045341</v>
      </c>
      <c r="S426" s="67" t="str">
        <f t="shared" si="372"/>
        <v>1+22,6621506927981i</v>
      </c>
      <c r="T426" s="67">
        <f t="shared" si="384"/>
        <v>22.684203182459143</v>
      </c>
      <c r="U426" s="67">
        <f t="shared" si="385"/>
        <v>1.5266984949853595</v>
      </c>
      <c r="V426" t="str">
        <f t="shared" si="373"/>
        <v>1-4,72128139433294i</v>
      </c>
      <c r="W426" s="67">
        <f t="shared" si="386"/>
        <v>4.8260230008231817</v>
      </c>
      <c r="X426" s="67">
        <f t="shared" si="387"/>
        <v>-1.3620741768095006</v>
      </c>
      <c r="Y426" t="str">
        <f t="shared" si="374"/>
        <v>0,074918546722603+8,19220409268071i</v>
      </c>
      <c r="Z426" s="67">
        <f t="shared" si="388"/>
        <v>8.1925466544156826</v>
      </c>
      <c r="AA426" s="67">
        <f t="shared" si="389"/>
        <v>1.5616514791534015</v>
      </c>
      <c r="AB426" s="92" t="str">
        <f t="shared" si="390"/>
        <v>-0,221619150749657-0,0391830098936752i</v>
      </c>
      <c r="AC426" s="37">
        <f t="shared" si="391"/>
        <v>-12.954174957337685</v>
      </c>
      <c r="AD426" s="60">
        <f t="shared" si="392"/>
        <v>-169.97353081616228</v>
      </c>
      <c r="AE426" t="str">
        <f t="shared" si="393"/>
        <v>21,0353732052265</v>
      </c>
      <c r="AF426" t="str">
        <f t="shared" si="375"/>
        <v>1+407,918712470367i</v>
      </c>
      <c r="AG426">
        <f t="shared" si="394"/>
        <v>407.9199382029297</v>
      </c>
      <c r="AH426">
        <f t="shared" si="395"/>
        <v>1.5683448628973027</v>
      </c>
      <c r="AI426" t="str">
        <f t="shared" si="376"/>
        <v>1+22,6621506927981i</v>
      </c>
      <c r="AJ426">
        <f t="shared" si="396"/>
        <v>22.684203182459143</v>
      </c>
      <c r="AK426">
        <f t="shared" si="397"/>
        <v>1.5266984949853595</v>
      </c>
      <c r="AL426" t="str">
        <f t="shared" si="377"/>
        <v>1-1,54196404642821i</v>
      </c>
      <c r="AM426">
        <f t="shared" si="398"/>
        <v>1.8378392531658634</v>
      </c>
      <c r="AN426">
        <f t="shared" si="399"/>
        <v>-0.99545973152396561</v>
      </c>
      <c r="AO426" s="58" t="str">
        <f t="shared" si="400"/>
        <v>1,0936538810875-1,85087479100193i</v>
      </c>
      <c r="AP426">
        <f t="shared" si="401"/>
        <v>6.6481268023328415</v>
      </c>
      <c r="AQ426" s="60">
        <f t="shared" si="402"/>
        <v>-59.421802404952757</v>
      </c>
      <c r="AR426" t="str">
        <f t="shared" si="378"/>
        <v>-1,05811623246493</v>
      </c>
      <c r="AS426" t="str">
        <f t="shared" si="379"/>
        <v>1+22,3358157228218i</v>
      </c>
      <c r="AT426">
        <f t="shared" si="403"/>
        <v>22.35819008783702</v>
      </c>
      <c r="AU426">
        <f t="shared" si="404"/>
        <v>1.5260550617758839</v>
      </c>
      <c r="AV426" t="str">
        <f t="shared" si="380"/>
        <v>1+22,3358157228218i</v>
      </c>
      <c r="AW426">
        <f t="shared" si="405"/>
        <v>22.35819008783702</v>
      </c>
      <c r="AX426">
        <f t="shared" si="406"/>
        <v>1.5260550617758839</v>
      </c>
      <c r="AY426" t="str">
        <f t="shared" si="381"/>
        <v>1-0,00113962909483252i</v>
      </c>
      <c r="AZ426">
        <f t="shared" si="407"/>
        <v>1.0000006493770259</v>
      </c>
      <c r="BA426">
        <f t="shared" si="408"/>
        <v>-1.1396286014667759E-3</v>
      </c>
      <c r="BB426" s="58" t="str">
        <f t="shared" si="409"/>
        <v>-0,00206282406260269+0,0472807181751279i</v>
      </c>
      <c r="BC426">
        <f t="shared" si="410"/>
        <v>-26.498059704877406</v>
      </c>
      <c r="BD426" s="60">
        <f t="shared" si="411"/>
        <v>92.49818974658929</v>
      </c>
      <c r="BE426" s="58" t="str">
        <f t="shared" si="412"/>
        <v>0,00230976216493607-0,0103974849531518i</v>
      </c>
      <c r="BF426" s="37">
        <f t="shared" si="413"/>
        <v>-39.452234662215126</v>
      </c>
      <c r="BG426" s="60">
        <f t="shared" si="414"/>
        <v>-77.475341069572963</v>
      </c>
      <c r="BH426" s="58" t="str">
        <f t="shared" si="415"/>
        <v>0,0852546738287449+0,0555267699885764i</v>
      </c>
      <c r="BI426" s="37">
        <f t="shared" si="416"/>
        <v>-19.84993290254457</v>
      </c>
      <c r="BJ426" s="60">
        <f t="shared" si="417"/>
        <v>33.076387341636512</v>
      </c>
      <c r="BK426">
        <f t="shared" si="418"/>
        <v>-39.452234662215126</v>
      </c>
      <c r="BL426" s="60">
        <f t="shared" si="419"/>
        <v>-77.475341069572963</v>
      </c>
      <c r="BN426">
        <f t="shared" si="420"/>
        <v>0</v>
      </c>
      <c r="BO426">
        <f t="shared" si="421"/>
        <v>0</v>
      </c>
    </row>
    <row r="427" spans="13:67" x14ac:dyDescent="0.25">
      <c r="M427" s="66">
        <v>9</v>
      </c>
      <c r="N427" s="36">
        <f t="shared" si="422"/>
        <v>123026.87708123829</v>
      </c>
      <c r="O427" s="91" t="str">
        <f t="shared" si="370"/>
        <v>13,7404580152672</v>
      </c>
      <c r="P427" s="67" t="str">
        <f t="shared" si="371"/>
        <v>1+834,840719782227i</v>
      </c>
      <c r="Q427" s="67">
        <f t="shared" si="382"/>
        <v>834.84131869865348</v>
      </c>
      <c r="R427" s="67">
        <f t="shared" si="383"/>
        <v>1.5695984940849719</v>
      </c>
      <c r="S427" s="67" t="str">
        <f t="shared" si="372"/>
        <v>1+23,1900199939508i</v>
      </c>
      <c r="T427" s="67">
        <f t="shared" si="384"/>
        <v>23.21157097914395</v>
      </c>
      <c r="U427" s="67">
        <f t="shared" si="385"/>
        <v>1.5277010273807163</v>
      </c>
      <c r="V427" t="str">
        <f t="shared" si="373"/>
        <v>1-4,83125416540641i</v>
      </c>
      <c r="W427" s="67">
        <f t="shared" si="386"/>
        <v>4.9336616027811209</v>
      </c>
      <c r="X427" s="67">
        <f t="shared" si="387"/>
        <v>-1.366692964152566</v>
      </c>
      <c r="Y427" t="str">
        <f t="shared" si="374"/>
        <v>0,031320801000824+8,38302503937388i</v>
      </c>
      <c r="Z427" s="67">
        <f t="shared" si="388"/>
        <v>8.3830835498248941</v>
      </c>
      <c r="AA427" s="67">
        <f t="shared" si="389"/>
        <v>1.5670601271395299</v>
      </c>
      <c r="AB427" s="92" t="str">
        <f t="shared" si="390"/>
        <v>-0,221748244729992-0,0371388910266504i</v>
      </c>
      <c r="AC427" s="37">
        <f t="shared" si="391"/>
        <v>-12.962652550083236</v>
      </c>
      <c r="AD427" s="60">
        <f t="shared" si="392"/>
        <v>-170.49221827893936</v>
      </c>
      <c r="AE427" t="str">
        <f t="shared" si="393"/>
        <v>21,0353732052265</v>
      </c>
      <c r="AF427" t="str">
        <f t="shared" si="375"/>
        <v>1+417,420359891114i</v>
      </c>
      <c r="AG427">
        <f t="shared" si="394"/>
        <v>417.42155772267819</v>
      </c>
      <c r="AH427">
        <f t="shared" si="395"/>
        <v>1.5684006648123459</v>
      </c>
      <c r="AI427" t="str">
        <f t="shared" si="376"/>
        <v>1+23,1900199939508i</v>
      </c>
      <c r="AJ427">
        <f t="shared" si="396"/>
        <v>23.21157097914395</v>
      </c>
      <c r="AK427">
        <f t="shared" si="397"/>
        <v>1.5277010273807163</v>
      </c>
      <c r="AL427" t="str">
        <f t="shared" si="377"/>
        <v>1-1,57788100305887i</v>
      </c>
      <c r="AM427">
        <f t="shared" si="398"/>
        <v>1.8680761386555058</v>
      </c>
      <c r="AN427">
        <f t="shared" si="399"/>
        <v>-1.0059215060601996</v>
      </c>
      <c r="AO427" s="58" t="str">
        <f t="shared" si="400"/>
        <v>1,09364848726178-1,89173571054431i</v>
      </c>
      <c r="AP427">
        <f t="shared" si="401"/>
        <v>6.7894891033002827</v>
      </c>
      <c r="AQ427" s="60">
        <f t="shared" si="402"/>
        <v>-59.966974271237845</v>
      </c>
      <c r="AR427" t="str">
        <f t="shared" si="378"/>
        <v>-1,05811623246493</v>
      </c>
      <c r="AS427" t="str">
        <f t="shared" si="379"/>
        <v>1+22,8560837060379i</v>
      </c>
      <c r="AT427">
        <f t="shared" si="403"/>
        <v>22.877949260749119</v>
      </c>
      <c r="AU427">
        <f t="shared" si="404"/>
        <v>1.5270721846912418</v>
      </c>
      <c r="AV427" t="str">
        <f t="shared" si="380"/>
        <v>1+22,8560837060379i</v>
      </c>
      <c r="AW427">
        <f t="shared" si="405"/>
        <v>22.877949260749119</v>
      </c>
      <c r="AX427">
        <f t="shared" si="406"/>
        <v>1.5270721846912418</v>
      </c>
      <c r="AY427" t="str">
        <f t="shared" si="381"/>
        <v>1-0,00111368796955452i</v>
      </c>
      <c r="AZ427">
        <f t="shared" si="407"/>
        <v>1.0000006201502545</v>
      </c>
      <c r="BA427">
        <f t="shared" si="408"/>
        <v>-1.1136875091188013E-3</v>
      </c>
      <c r="BB427" s="58" t="str">
        <f t="shared" si="409"/>
        <v>-0,00197015906908006+0,0462085319155901i</v>
      </c>
      <c r="BC427">
        <f t="shared" si="410"/>
        <v>-26.697668924635028</v>
      </c>
      <c r="BD427" s="60">
        <f t="shared" si="411"/>
        <v>92.441399211400736</v>
      </c>
      <c r="BE427" s="58" t="str">
        <f t="shared" si="412"/>
        <v>0,00215301294672198-0,0101734913208602i</v>
      </c>
      <c r="BF427" s="37">
        <f t="shared" si="413"/>
        <v>-39.660321474718252</v>
      </c>
      <c r="BG427" s="60">
        <f t="shared" si="414"/>
        <v>-78.050819067538612</v>
      </c>
      <c r="BH427" s="58" t="str">
        <f t="shared" si="415"/>
        <v>0,0852596684709838+0,0542629112945043i</v>
      </c>
      <c r="BI427" s="37">
        <f t="shared" si="416"/>
        <v>-19.908179821334741</v>
      </c>
      <c r="BJ427" s="60">
        <f t="shared" si="417"/>
        <v>32.474424940162898</v>
      </c>
      <c r="BK427">
        <f t="shared" si="418"/>
        <v>-39.660321474718252</v>
      </c>
      <c r="BL427" s="60">
        <f t="shared" si="419"/>
        <v>-78.050819067538612</v>
      </c>
      <c r="BN427">
        <f t="shared" si="420"/>
        <v>0</v>
      </c>
      <c r="BO427">
        <f t="shared" si="421"/>
        <v>0</v>
      </c>
    </row>
    <row r="428" spans="13:67" x14ac:dyDescent="0.25">
      <c r="M428" s="66">
        <v>10</v>
      </c>
      <c r="N428" s="36">
        <f t="shared" si="422"/>
        <v>125892.54117941685</v>
      </c>
      <c r="O428" s="91" t="str">
        <f t="shared" si="370"/>
        <v>13,7404580152672</v>
      </c>
      <c r="P428" s="67" t="str">
        <f t="shared" si="371"/>
        <v>1+854,286658223774i</v>
      </c>
      <c r="Q428" s="67">
        <f t="shared" si="382"/>
        <v>854.28724350720768</v>
      </c>
      <c r="R428" s="67">
        <f t="shared" si="383"/>
        <v>1.5696257600610828</v>
      </c>
      <c r="S428" s="67" t="str">
        <f t="shared" si="372"/>
        <v>1+23,7301849506604i</v>
      </c>
      <c r="T428" s="67">
        <f t="shared" si="384"/>
        <v>23.751245815589328</v>
      </c>
      <c r="U428" s="67">
        <f t="shared" si="385"/>
        <v>1.5286808231187314</v>
      </c>
      <c r="V428" t="str">
        <f t="shared" si="373"/>
        <v>1-4,94378853138758i</v>
      </c>
      <c r="W428" s="67">
        <f t="shared" si="386"/>
        <v>5.043911680737418</v>
      </c>
      <c r="X428" s="67">
        <f t="shared" si="387"/>
        <v>-1.371215164688443</v>
      </c>
      <c r="Y428" t="str">
        <f t="shared" si="374"/>
        <v>-0,0143316431751199+8,57829077690539i</v>
      </c>
      <c r="Z428" s="67">
        <f t="shared" si="388"/>
        <v>8.5783027487455925</v>
      </c>
      <c r="AA428" s="67">
        <f t="shared" si="389"/>
        <v>1.5724670127408171</v>
      </c>
      <c r="AB428" s="92" t="str">
        <f t="shared" si="390"/>
        <v>-0,221859259256592-0,0351131074013098i</v>
      </c>
      <c r="AC428" s="37">
        <f t="shared" si="391"/>
        <v>-12.971004270169569</v>
      </c>
      <c r="AD428" s="60">
        <f t="shared" si="392"/>
        <v>-171.00653707380295</v>
      </c>
      <c r="AE428" t="str">
        <f t="shared" si="393"/>
        <v>21,0353732052265</v>
      </c>
      <c r="AF428" t="str">
        <f t="shared" si="375"/>
        <v>1+427,143329111887i</v>
      </c>
      <c r="AG428">
        <f t="shared" si="394"/>
        <v>427.14449967755149</v>
      </c>
      <c r="AH428">
        <f t="shared" si="395"/>
        <v>1.568455196535143</v>
      </c>
      <c r="AI428" t="str">
        <f t="shared" si="376"/>
        <v>1+23,7301849506604i</v>
      </c>
      <c r="AJ428">
        <f t="shared" si="396"/>
        <v>23.751245815589328</v>
      </c>
      <c r="AK428">
        <f t="shared" si="397"/>
        <v>1.5286808231187314</v>
      </c>
      <c r="AL428" t="str">
        <f t="shared" si="377"/>
        <v>1-1,61463457308306i</v>
      </c>
      <c r="AM428">
        <f t="shared" si="398"/>
        <v>1.8992221577780508</v>
      </c>
      <c r="AN428">
        <f t="shared" si="399"/>
        <v>-1.0162809622153322</v>
      </c>
      <c r="AO428" s="58" t="str">
        <f t="shared" si="400"/>
        <v>1,09364333619547-1,93359965223702i</v>
      </c>
      <c r="AP428">
        <f t="shared" si="401"/>
        <v>6.932751322885764</v>
      </c>
      <c r="AQ428" s="60">
        <f t="shared" si="402"/>
        <v>-60.507513663970499</v>
      </c>
      <c r="AR428" t="str">
        <f t="shared" si="378"/>
        <v>-1,05811623246493</v>
      </c>
      <c r="AS428" t="str">
        <f t="shared" si="379"/>
        <v>1+23,3884702873709i</v>
      </c>
      <c r="AT428">
        <f t="shared" si="403"/>
        <v>23.409838580887978</v>
      </c>
      <c r="AU428">
        <f t="shared" si="404"/>
        <v>1.5280662425443787</v>
      </c>
      <c r="AV428" t="str">
        <f t="shared" si="380"/>
        <v>1+23,3884702873709i</v>
      </c>
      <c r="AW428">
        <f t="shared" si="405"/>
        <v>23.409838580887978</v>
      </c>
      <c r="AX428">
        <f t="shared" si="406"/>
        <v>1.5280662425443787</v>
      </c>
      <c r="AY428" t="str">
        <f t="shared" si="381"/>
        <v>1-0,00108833733637938i</v>
      </c>
      <c r="AZ428">
        <f t="shared" si="407"/>
        <v>1.0000005922389035</v>
      </c>
      <c r="BA428">
        <f t="shared" si="408"/>
        <v>-1.088336906675751E-3</v>
      </c>
      <c r="BB428" s="58" t="str">
        <f t="shared" si="409"/>
        <v>-0,00188164910797879+0,0451604816552405i</v>
      </c>
      <c r="BC428">
        <f t="shared" si="410"/>
        <v>-26.897295699530922</v>
      </c>
      <c r="BD428" s="60">
        <f t="shared" si="411"/>
        <v>92.385896374352257</v>
      </c>
      <c r="BE428" s="58" t="str">
        <f t="shared" si="412"/>
        <v>0,00200318611993234-0,00995320046048253i</v>
      </c>
      <c r="BF428" s="37">
        <f t="shared" si="413"/>
        <v>-39.868299969700487</v>
      </c>
      <c r="BG428" s="60">
        <f t="shared" si="414"/>
        <v>-78.620640699450718</v>
      </c>
      <c r="BH428" s="58" t="str">
        <f t="shared" si="415"/>
        <v>0,0852644386154302+0,0530278158824514i</v>
      </c>
      <c r="BI428" s="37">
        <f t="shared" si="416"/>
        <v>-19.964544376645154</v>
      </c>
      <c r="BJ428" s="60">
        <f t="shared" si="417"/>
        <v>31.87838271038175</v>
      </c>
      <c r="BK428">
        <f t="shared" si="418"/>
        <v>-39.868299969700487</v>
      </c>
      <c r="BL428" s="60">
        <f t="shared" si="419"/>
        <v>-78.620640699450718</v>
      </c>
      <c r="BN428">
        <f t="shared" si="420"/>
        <v>0</v>
      </c>
      <c r="BO428">
        <f t="shared" si="421"/>
        <v>0</v>
      </c>
    </row>
    <row r="429" spans="13:67" x14ac:dyDescent="0.25">
      <c r="M429" s="66">
        <v>11</v>
      </c>
      <c r="N429" s="36">
        <f t="shared" si="422"/>
        <v>128824.95516931375</v>
      </c>
      <c r="O429" s="91" t="str">
        <f t="shared" si="370"/>
        <v>13,7404580152672</v>
      </c>
      <c r="P429" s="67" t="str">
        <f t="shared" si="371"/>
        <v>1+874,185550759333i</v>
      </c>
      <c r="Q429" s="67">
        <f t="shared" si="382"/>
        <v>874.18612272009807</v>
      </c>
      <c r="R429" s="67">
        <f t="shared" si="383"/>
        <v>1.5696524053894856</v>
      </c>
      <c r="S429" s="67" t="str">
        <f t="shared" si="372"/>
        <v>1+24,2829319655371i</v>
      </c>
      <c r="T429" s="67">
        <f t="shared" si="384"/>
        <v>24.303513837363177</v>
      </c>
      <c r="U429" s="67">
        <f t="shared" si="385"/>
        <v>1.5296383941709586</v>
      </c>
      <c r="V429" t="str">
        <f t="shared" si="373"/>
        <v>1-5,05894415948688i</v>
      </c>
      <c r="W429" s="67">
        <f t="shared" si="386"/>
        <v>5.1568319740715234</v>
      </c>
      <c r="X429" s="67">
        <f t="shared" si="387"/>
        <v>-1.375642435955609</v>
      </c>
      <c r="Y429" t="str">
        <f t="shared" si="374"/>
        <v>-0,0621356207600501+8,77810483775393i</v>
      </c>
      <c r="Z429" s="67">
        <f t="shared" si="388"/>
        <v>8.7783247478073037</v>
      </c>
      <c r="AA429" s="67">
        <f t="shared" si="389"/>
        <v>1.5778746864379389</v>
      </c>
      <c r="AB429" s="92" t="str">
        <f t="shared" si="390"/>
        <v>-0,221952409865486-0,0331048761784202i</v>
      </c>
      <c r="AC429" s="37">
        <f t="shared" si="391"/>
        <v>-12.979245835054652</v>
      </c>
      <c r="AD429" s="60">
        <f t="shared" si="392"/>
        <v>-171.51669979698482</v>
      </c>
      <c r="AE429" t="str">
        <f t="shared" si="393"/>
        <v>21,0353732052265</v>
      </c>
      <c r="AF429" t="str">
        <f t="shared" si="375"/>
        <v>1+437,092775379667i</v>
      </c>
      <c r="AG429">
        <f t="shared" si="394"/>
        <v>437.09391930007445</v>
      </c>
      <c r="AH429">
        <f t="shared" si="395"/>
        <v>1.5685084869778376</v>
      </c>
      <c r="AI429" t="str">
        <f t="shared" si="376"/>
        <v>1+24,2829319655371i</v>
      </c>
      <c r="AJ429">
        <f t="shared" si="396"/>
        <v>24.303513837363177</v>
      </c>
      <c r="AK429">
        <f t="shared" si="397"/>
        <v>1.5296383941709586</v>
      </c>
      <c r="AL429" t="str">
        <f t="shared" si="377"/>
        <v>1-1,65224424373013i</v>
      </c>
      <c r="AM429">
        <f t="shared" si="398"/>
        <v>1.9312977608176707</v>
      </c>
      <c r="AN429">
        <f t="shared" si="399"/>
        <v>-1.0265346982980534</v>
      </c>
      <c r="AO429" s="58" t="str">
        <f t="shared" si="400"/>
        <v>1,09363841696286-1,97648881297379i</v>
      </c>
      <c r="AP429">
        <f t="shared" si="401"/>
        <v>7.0778752567519021</v>
      </c>
      <c r="AQ429" s="60">
        <f t="shared" si="402"/>
        <v>-61.043198003329628</v>
      </c>
      <c r="AR429" t="str">
        <f t="shared" si="378"/>
        <v>-1,05811623246493</v>
      </c>
      <c r="AS429" t="str">
        <f t="shared" si="379"/>
        <v>1+23,9332577452333i</v>
      </c>
      <c r="AT429">
        <f t="shared" si="403"/>
        <v>23.954140065962914</v>
      </c>
      <c r="AU429">
        <f t="shared" si="404"/>
        <v>1.5290377545352163</v>
      </c>
      <c r="AV429" t="str">
        <f t="shared" si="380"/>
        <v>1+23,9332577452333i</v>
      </c>
      <c r="AW429">
        <f t="shared" si="405"/>
        <v>23.954140065962914</v>
      </c>
      <c r="AX429">
        <f t="shared" si="406"/>
        <v>1.5290377545352163</v>
      </c>
      <c r="AY429" t="str">
        <f t="shared" si="381"/>
        <v>1-0,00106356375406583i</v>
      </c>
      <c r="AZ429">
        <f t="shared" si="407"/>
        <v>1.0000005655837696</v>
      </c>
      <c r="BA429">
        <f t="shared" si="408"/>
        <v>-1.0635633530430573E-3</v>
      </c>
      <c r="BB429" s="58" t="str">
        <f t="shared" si="409"/>
        <v>-0,00179710853917582+0,0441360359366931i</v>
      </c>
      <c r="BC429">
        <f t="shared" si="410"/>
        <v>-27.096939242340742</v>
      </c>
      <c r="BD429" s="60">
        <f t="shared" si="411"/>
        <v>92.331652257597597</v>
      </c>
      <c r="BE429" s="58" t="str">
        <f t="shared" si="412"/>
        <v>0,00185999057575045-0,00973660648239013i</v>
      </c>
      <c r="BF429" s="37">
        <f t="shared" si="413"/>
        <v>-40.076185077395394</v>
      </c>
      <c r="BG429" s="60">
        <f t="shared" si="414"/>
        <v>-79.185047539387199</v>
      </c>
      <c r="BH429" s="58" t="str">
        <f t="shared" si="415"/>
        <v>0,0852689943399884+0,0518208293962016i</v>
      </c>
      <c r="BI429" s="37">
        <f t="shared" si="416"/>
        <v>-20.01906398558884</v>
      </c>
      <c r="BJ429" s="60">
        <f t="shared" si="417"/>
        <v>31.288454254267961</v>
      </c>
      <c r="BK429">
        <f t="shared" si="418"/>
        <v>-40.076185077395394</v>
      </c>
      <c r="BL429" s="60">
        <f t="shared" si="419"/>
        <v>-79.185047539387199</v>
      </c>
      <c r="BN429">
        <f t="shared" si="420"/>
        <v>0</v>
      </c>
      <c r="BO429">
        <f t="shared" si="421"/>
        <v>0</v>
      </c>
    </row>
    <row r="430" spans="13:67" x14ac:dyDescent="0.25">
      <c r="M430" s="66">
        <v>12</v>
      </c>
      <c r="N430" s="36">
        <f t="shared" si="422"/>
        <v>131825.67385564081</v>
      </c>
      <c r="O430" s="91" t="str">
        <f t="shared" si="370"/>
        <v>13,7404580152672</v>
      </c>
      <c r="P430" s="67" t="str">
        <f t="shared" si="371"/>
        <v>1+894,547948045115i</v>
      </c>
      <c r="Q430" s="67">
        <f t="shared" si="382"/>
        <v>894.54850698647181</v>
      </c>
      <c r="R430" s="67">
        <f t="shared" si="383"/>
        <v>1.5696784441977352</v>
      </c>
      <c r="S430" s="67" t="str">
        <f t="shared" si="372"/>
        <v>1+24,8485541123643i</v>
      </c>
      <c r="T430" s="67">
        <f t="shared" si="384"/>
        <v>24.86866786691834</v>
      </c>
      <c r="U430" s="67">
        <f t="shared" si="385"/>
        <v>1.5305742412259415</v>
      </c>
      <c r="V430" t="str">
        <f t="shared" si="373"/>
        <v>1-5,17678210674256i</v>
      </c>
      <c r="W430" s="67">
        <f t="shared" si="386"/>
        <v>5.2724826202359294</v>
      </c>
      <c r="X430" s="67">
        <f t="shared" si="387"/>
        <v>-1.3799764307991305</v>
      </c>
      <c r="Y430" t="str">
        <f t="shared" si="374"/>
        <v>-0,1121925303996+8,98257316597936i</v>
      </c>
      <c r="Z430" s="67">
        <f t="shared" si="388"/>
        <v>8.9832737822049005</v>
      </c>
      <c r="AA430" s="67">
        <f t="shared" si="389"/>
        <v>1.5832856986972887</v>
      </c>
      <c r="AB430" s="92" t="str">
        <f t="shared" si="390"/>
        <v>-0,222027880440282-0,0311134190947106i</v>
      </c>
      <c r="AC430" s="37">
        <f t="shared" si="391"/>
        <v>-12.98739285162898</v>
      </c>
      <c r="AD430" s="60">
        <f t="shared" si="392"/>
        <v>-172.02291940260034</v>
      </c>
      <c r="AE430" t="str">
        <f t="shared" si="393"/>
        <v>21,0353732052265</v>
      </c>
      <c r="AF430" t="str">
        <f t="shared" si="375"/>
        <v>1+447,273974022558i</v>
      </c>
      <c r="AG430">
        <f t="shared" si="394"/>
        <v>447.27509190422381</v>
      </c>
      <c r="AH430">
        <f t="shared" si="395"/>
        <v>1.5685605643945164</v>
      </c>
      <c r="AI430" t="str">
        <f t="shared" si="376"/>
        <v>1+24,8485541123643i</v>
      </c>
      <c r="AJ430">
        <f t="shared" si="396"/>
        <v>24.86866786691834</v>
      </c>
      <c r="AK430">
        <f t="shared" si="397"/>
        <v>1.5305742412259415</v>
      </c>
      <c r="AL430" t="str">
        <f t="shared" si="377"/>
        <v>1-1,69072995614525i</v>
      </c>
      <c r="AM430">
        <f t="shared" si="398"/>
        <v>1.9643237474018684</v>
      </c>
      <c r="AN430">
        <f t="shared" si="399"/>
        <v>-1.0366795260065407</v>
      </c>
      <c r="AO430" s="58" t="str">
        <f t="shared" si="400"/>
        <v>1,09363371912991-2,02042593322777i</v>
      </c>
      <c r="AP430">
        <f t="shared" si="401"/>
        <v>7.2248219427839242</v>
      </c>
      <c r="AQ430" s="60">
        <f t="shared" si="402"/>
        <v>-61.573817544576826</v>
      </c>
      <c r="AR430" t="str">
        <f t="shared" si="378"/>
        <v>-1,05811623246493</v>
      </c>
      <c r="AS430" t="str">
        <f t="shared" si="379"/>
        <v>1+24,4907349331463i</v>
      </c>
      <c r="AT430">
        <f t="shared" si="403"/>
        <v>24.511142314580784</v>
      </c>
      <c r="AU430">
        <f t="shared" si="404"/>
        <v>1.5299872284325118</v>
      </c>
      <c r="AV430" t="str">
        <f t="shared" si="380"/>
        <v>1+24,4907349331463i</v>
      </c>
      <c r="AW430">
        <f t="shared" si="405"/>
        <v>24.511142314580784</v>
      </c>
      <c r="AX430">
        <f t="shared" si="406"/>
        <v>1.5299872284325118</v>
      </c>
      <c r="AY430" t="str">
        <f t="shared" si="381"/>
        <v>1-0,00103935408733262i</v>
      </c>
      <c r="AZ430">
        <f t="shared" si="407"/>
        <v>1.0000005401283136</v>
      </c>
      <c r="BA430">
        <f t="shared" si="408"/>
        <v>-1.0393537130763812E-3</v>
      </c>
      <c r="BB430" s="58" t="str">
        <f t="shared" si="409"/>
        <v>-0,0017163599579087+0,0431346742100935i</v>
      </c>
      <c r="BC430">
        <f t="shared" si="410"/>
        <v>-27.296598801017737</v>
      </c>
      <c r="BD430" s="60">
        <f t="shared" si="411"/>
        <v>92.278638520718374</v>
      </c>
      <c r="BE430" s="58" t="str">
        <f t="shared" si="412"/>
        <v>0,00172314695973948-0,00952369846166136i</v>
      </c>
      <c r="BF430" s="37">
        <f t="shared" si="413"/>
        <v>-40.283991652646719</v>
      </c>
      <c r="BG430" s="60">
        <f t="shared" si="414"/>
        <v>-79.744280881882005</v>
      </c>
      <c r="BH430" s="58" t="str">
        <f t="shared" si="415"/>
        <v>0,0852733452712706+0,050641312349554i</v>
      </c>
      <c r="BI430" s="37">
        <f t="shared" si="416"/>
        <v>-20.071776858233818</v>
      </c>
      <c r="BJ430" s="60">
        <f t="shared" si="417"/>
        <v>30.704820976141544</v>
      </c>
      <c r="BK430">
        <f t="shared" si="418"/>
        <v>-40.283991652646719</v>
      </c>
      <c r="BL430" s="60">
        <f t="shared" si="419"/>
        <v>-79.744280881882005</v>
      </c>
      <c r="BN430">
        <f t="shared" si="420"/>
        <v>0</v>
      </c>
      <c r="BO430">
        <f t="shared" si="421"/>
        <v>0</v>
      </c>
    </row>
    <row r="431" spans="13:67" x14ac:dyDescent="0.25">
      <c r="M431" s="66">
        <v>13</v>
      </c>
      <c r="N431" s="36">
        <f t="shared" si="422"/>
        <v>134896.28825916545</v>
      </c>
      <c r="O431" s="91" t="str">
        <f t="shared" si="370"/>
        <v>13,7404580152672</v>
      </c>
      <c r="P431" s="67" t="str">
        <f t="shared" si="371"/>
        <v>1+915,384646493694i</v>
      </c>
      <c r="Q431" s="67">
        <f t="shared" si="382"/>
        <v>915.38519271199982</v>
      </c>
      <c r="R431" s="67">
        <f t="shared" si="383"/>
        <v>1.5697038902918108</v>
      </c>
      <c r="S431" s="67" t="str">
        <f t="shared" si="372"/>
        <v>1+25,4273512914915i</v>
      </c>
      <c r="T431" s="67">
        <f t="shared" si="384"/>
        <v>25.447007558864648</v>
      </c>
      <c r="U431" s="67">
        <f t="shared" si="385"/>
        <v>1.5314888539214471</v>
      </c>
      <c r="V431" t="str">
        <f t="shared" si="373"/>
        <v>1-5,29736485239406i</v>
      </c>
      <c r="W431" s="67">
        <f t="shared" si="386"/>
        <v>5.3909251877001543</v>
      </c>
      <c r="X431" s="67">
        <f t="shared" si="387"/>
        <v>-1.3842187955863776</v>
      </c>
      <c r="Y431" t="str">
        <f t="shared" si="374"/>
        <v>-0,16460854951039+9,19180417339582i</v>
      </c>
      <c r="Z431" s="67">
        <f t="shared" si="388"/>
        <v>9.1932779755987326</v>
      </c>
      <c r="AA431" s="67">
        <f t="shared" si="389"/>
        <v>1.5887025999228934</v>
      </c>
      <c r="AB431" s="92" t="str">
        <f t="shared" si="390"/>
        <v>-0,22208582349249-0,0291379632512932i</v>
      </c>
      <c r="AC431" s="37">
        <f t="shared" si="391"/>
        <v>-12.995460835364401</v>
      </c>
      <c r="AD431" s="60">
        <f t="shared" si="392"/>
        <v>-172.525409084785</v>
      </c>
      <c r="AE431" t="str">
        <f t="shared" si="393"/>
        <v>21,0353732052265</v>
      </c>
      <c r="AF431" t="str">
        <f t="shared" si="375"/>
        <v>1+457,692323246847i</v>
      </c>
      <c r="AG431">
        <f t="shared" si="394"/>
        <v>457.69341568248097</v>
      </c>
      <c r="AH431">
        <f t="shared" si="395"/>
        <v>1.5686114563961842</v>
      </c>
      <c r="AI431" t="str">
        <f t="shared" si="376"/>
        <v>1+25,4273512914915i</v>
      </c>
      <c r="AJ431">
        <f t="shared" si="396"/>
        <v>25.447007558864648</v>
      </c>
      <c r="AK431">
        <f t="shared" si="397"/>
        <v>1.5314888539214471</v>
      </c>
      <c r="AL431" t="str">
        <f t="shared" si="377"/>
        <v>1-1,73011211596258i</v>
      </c>
      <c r="AM431">
        <f t="shared" si="398"/>
        <v>1.9983212789240163</v>
      </c>
      <c r="AN431">
        <f t="shared" si="399"/>
        <v>-1.0467124711189411</v>
      </c>
      <c r="AO431" s="58" t="str">
        <f t="shared" si="400"/>
        <v>1,09362923273222-2,06543430910936i</v>
      </c>
      <c r="AP431">
        <f t="shared" si="401"/>
        <v>7.3735517713730614</v>
      </c>
      <c r="AQ431" s="60">
        <f t="shared" si="402"/>
        <v>-62.099175405168623</v>
      </c>
      <c r="AR431" t="str">
        <f t="shared" si="378"/>
        <v>-1,05811623246493</v>
      </c>
      <c r="AS431" t="str">
        <f t="shared" si="379"/>
        <v>1+25,061197432894i</v>
      </c>
      <c r="AT431">
        <f t="shared" si="403"/>
        <v>25.081140659278095</v>
      </c>
      <c r="AU431">
        <f t="shared" si="404"/>
        <v>1.5309151608083789</v>
      </c>
      <c r="AV431" t="str">
        <f t="shared" si="380"/>
        <v>1+25,061197432894i</v>
      </c>
      <c r="AW431">
        <f t="shared" si="405"/>
        <v>25.081140659278095</v>
      </c>
      <c r="AX431">
        <f t="shared" si="406"/>
        <v>1.5309151608083789</v>
      </c>
      <c r="AY431" t="str">
        <f t="shared" si="381"/>
        <v>1-0,001015695499894i</v>
      </c>
      <c r="AZ431">
        <f t="shared" si="407"/>
        <v>1.0000005158185412</v>
      </c>
      <c r="BA431">
        <f t="shared" si="408"/>
        <v>-1.0156951506177453E-3</v>
      </c>
      <c r="BB431" s="58" t="str">
        <f t="shared" si="409"/>
        <v>-0,00163923383460544+0,0421558866634061i</v>
      </c>
      <c r="BC431">
        <f t="shared" si="410"/>
        <v>-27.496273657131631</v>
      </c>
      <c r="BD431" s="60">
        <f t="shared" si="411"/>
        <v>92.226827447685864</v>
      </c>
      <c r="BE431" s="58" t="str">
        <f t="shared" si="412"/>
        <v>0,00159238727247911-0,00931446086946561i</v>
      </c>
      <c r="BF431" s="37">
        <f t="shared" si="413"/>
        <v>-40.491734492496036</v>
      </c>
      <c r="BG431" s="60">
        <f t="shared" si="414"/>
        <v>-80.298581637099119</v>
      </c>
      <c r="BH431" s="58" t="str">
        <f t="shared" si="415"/>
        <v>0,0852775006047164+0,0494886397894942i</v>
      </c>
      <c r="BI431" s="37">
        <f t="shared" si="416"/>
        <v>-20.122721885758569</v>
      </c>
      <c r="BJ431" s="60">
        <f t="shared" si="417"/>
        <v>30.127652042517255</v>
      </c>
      <c r="BK431">
        <f t="shared" si="418"/>
        <v>-40.491734492496036</v>
      </c>
      <c r="BL431" s="60">
        <f t="shared" si="419"/>
        <v>-80.298581637099119</v>
      </c>
      <c r="BN431">
        <f t="shared" si="420"/>
        <v>0</v>
      </c>
      <c r="BO431">
        <f t="shared" si="421"/>
        <v>0</v>
      </c>
    </row>
    <row r="432" spans="13:67" x14ac:dyDescent="0.25">
      <c r="M432" s="66">
        <v>14</v>
      </c>
      <c r="N432" s="36">
        <f t="shared" si="422"/>
        <v>138038.42646028858</v>
      </c>
      <c r="O432" s="91" t="str">
        <f t="shared" si="370"/>
        <v>13,7404580152672</v>
      </c>
      <c r="P432" s="67" t="str">
        <f t="shared" si="371"/>
        <v>1+936,706693998393i</v>
      </c>
      <c r="Q432" s="67">
        <f t="shared" si="382"/>
        <v>936.70722778325944</v>
      </c>
      <c r="R432" s="67">
        <f t="shared" si="383"/>
        <v>1.5697287571634362</v>
      </c>
      <c r="S432" s="67" t="str">
        <f t="shared" si="372"/>
        <v>1+26,0196303888443i</v>
      </c>
      <c r="T432" s="67">
        <f t="shared" si="384"/>
        <v>26.038839558860332</v>
      </c>
      <c r="U432" s="67">
        <f t="shared" si="385"/>
        <v>1.5323827110730335</v>
      </c>
      <c r="V432" t="str">
        <f t="shared" si="373"/>
        <v>1-5,42075633100922i</v>
      </c>
      <c r="W432" s="67">
        <f t="shared" si="386"/>
        <v>5.5122227095951546</v>
      </c>
      <c r="X432" s="67">
        <f t="shared" si="387"/>
        <v>-1.3883711685583315</v>
      </c>
      <c r="Y432" t="str">
        <f t="shared" si="374"/>
        <v>-0,21949485949648+9,40590879705294i</v>
      </c>
      <c r="Z432" s="67">
        <f t="shared" si="388"/>
        <v>9.4084694978419972</v>
      </c>
      <c r="AA432" s="67">
        <f t="shared" si="389"/>
        <v>1.5941279404013387</v>
      </c>
      <c r="AB432" s="92" t="str">
        <f t="shared" si="390"/>
        <v>-0,222126360421959-0,0271777418904716i</v>
      </c>
      <c r="AC432" s="37">
        <f t="shared" si="391"/>
        <v>-13.003465229986038</v>
      </c>
      <c r="AD432" s="60">
        <f t="shared" si="392"/>
        <v>-173.02438216739884</v>
      </c>
      <c r="AE432" t="str">
        <f t="shared" si="393"/>
        <v>21,0353732052265</v>
      </c>
      <c r="AF432" t="str">
        <f t="shared" si="375"/>
        <v>1+468,353346999197i</v>
      </c>
      <c r="AG432">
        <f t="shared" si="394"/>
        <v>468.35441456801732</v>
      </c>
      <c r="AH432">
        <f t="shared" si="395"/>
        <v>1.568661189965399</v>
      </c>
      <c r="AI432" t="str">
        <f t="shared" si="376"/>
        <v>1+26,0196303888443i</v>
      </c>
      <c r="AJ432">
        <f t="shared" si="396"/>
        <v>26.038839558860332</v>
      </c>
      <c r="AK432">
        <f t="shared" si="397"/>
        <v>1.5323827110730335</v>
      </c>
      <c r="AL432" t="str">
        <f t="shared" si="377"/>
        <v>1-1,77041160412454i</v>
      </c>
      <c r="AM432">
        <f t="shared" si="398"/>
        <v>2.0333118914762749</v>
      </c>
      <c r="AN432">
        <f t="shared" si="399"/>
        <v>-1.0566307733326872</v>
      </c>
      <c r="AO432" s="58" t="str">
        <f t="shared" si="400"/>
        <v>1,09362494825379-2,11153780471833i</v>
      </c>
      <c r="AP432">
        <f t="shared" si="401"/>
        <v>7.5240245936129524</v>
      </c>
      <c r="AQ432" s="60">
        <f t="shared" si="402"/>
        <v>-62.619087543294377</v>
      </c>
      <c r="AR432" t="str">
        <f t="shared" si="378"/>
        <v>-1,05811623246493</v>
      </c>
      <c r="AS432" t="str">
        <f t="shared" si="379"/>
        <v>1+25,6449477112449i</v>
      </c>
      <c r="AT432">
        <f t="shared" si="403"/>
        <v>25.664437323122538</v>
      </c>
      <c r="AU432">
        <f t="shared" si="404"/>
        <v>1.5318220372691691</v>
      </c>
      <c r="AV432" t="str">
        <f t="shared" si="380"/>
        <v>1+25,6449477112449i</v>
      </c>
      <c r="AW432">
        <f t="shared" si="405"/>
        <v>25.664437323122538</v>
      </c>
      <c r="AX432">
        <f t="shared" si="406"/>
        <v>1.5318220372691691</v>
      </c>
      <c r="AY432" t="str">
        <f t="shared" si="381"/>
        <v>1-0,000992575447653732i</v>
      </c>
      <c r="AZ432">
        <f t="shared" si="407"/>
        <v>1.0000004926028883</v>
      </c>
      <c r="BA432">
        <f t="shared" si="408"/>
        <v>-9.9257512169015631E-4</v>
      </c>
      <c r="BB432" s="58" t="str">
        <f t="shared" si="409"/>
        <v>-0,00156556817001027+0,0411991740514113i</v>
      </c>
      <c r="BC432">
        <f t="shared" si="410"/>
        <v>-27.695963124375997</v>
      </c>
      <c r="BD432" s="60">
        <f t="shared" si="411"/>
        <v>92.176191934022583</v>
      </c>
      <c r="BE432" s="58" t="str">
        <f t="shared" si="412"/>
        <v>0,00146745447806672-0,00910887397679433i</v>
      </c>
      <c r="BF432" s="37">
        <f t="shared" si="413"/>
        <v>-40.699428354362041</v>
      </c>
      <c r="BG432" s="60">
        <f t="shared" si="414"/>
        <v>-80.848190233376272</v>
      </c>
      <c r="BH432" s="58" t="str">
        <f t="shared" si="415"/>
        <v>0,0852814691238101+0,0483622009669139i</v>
      </c>
      <c r="BI432" s="37">
        <f t="shared" si="416"/>
        <v>-20.17193853076305</v>
      </c>
      <c r="BJ432" s="60">
        <f t="shared" si="417"/>
        <v>29.557104390728195</v>
      </c>
      <c r="BK432">
        <f t="shared" si="418"/>
        <v>-40.699428354362041</v>
      </c>
      <c r="BL432" s="60">
        <f t="shared" si="419"/>
        <v>-80.848190233376272</v>
      </c>
      <c r="BN432">
        <f t="shared" si="420"/>
        <v>0</v>
      </c>
      <c r="BO432">
        <f t="shared" si="421"/>
        <v>0</v>
      </c>
    </row>
    <row r="433" spans="13:67" x14ac:dyDescent="0.25">
      <c r="M433" s="66">
        <v>15</v>
      </c>
      <c r="N433" s="36">
        <f t="shared" si="422"/>
        <v>141253.75446227577</v>
      </c>
      <c r="O433" s="91" t="str">
        <f t="shared" si="370"/>
        <v>13,7404580152672</v>
      </c>
      <c r="P433" s="67" t="str">
        <f t="shared" si="371"/>
        <v>1+958,52539579103i</v>
      </c>
      <c r="Q433" s="67">
        <f t="shared" si="382"/>
        <v>958.52591742547611</v>
      </c>
      <c r="R433" s="67">
        <f t="shared" si="383"/>
        <v>1.5697530579972332</v>
      </c>
      <c r="S433" s="67" t="str">
        <f t="shared" si="372"/>
        <v>1+26,6257054386397i</v>
      </c>
      <c r="T433" s="67">
        <f t="shared" si="384"/>
        <v>26.644477666210829</v>
      </c>
      <c r="U433" s="67">
        <f t="shared" si="385"/>
        <v>1.5332562808989387</v>
      </c>
      <c r="V433" t="str">
        <f t="shared" si="373"/>
        <v>1-5,54702196638327i</v>
      </c>
      <c r="W433" s="67">
        <f t="shared" si="386"/>
        <v>5.6364397180790036</v>
      </c>
      <c r="X433" s="67">
        <f t="shared" si="387"/>
        <v>-1.3924351783100637</v>
      </c>
      <c r="Y433" t="str">
        <f t="shared" si="374"/>
        <v>-0,27696788158009+9,62500055805619i</v>
      </c>
      <c r="Z433" s="67">
        <f t="shared" si="388"/>
        <v>9.6289847310092327</v>
      </c>
      <c r="AA433" s="67">
        <f t="shared" si="389"/>
        <v>1.5995642702343946</v>
      </c>
      <c r="AB433" s="92" t="str">
        <f t="shared" si="390"/>
        <v>-0,222149581757497-0,0252319951650303i</v>
      </c>
      <c r="AC433" s="37">
        <f t="shared" si="391"/>
        <v>-13.011421427624958</v>
      </c>
      <c r="AD433" s="60">
        <f t="shared" si="392"/>
        <v>-173.52005200062919</v>
      </c>
      <c r="AE433" t="str">
        <f t="shared" si="393"/>
        <v>21,0353732052265</v>
      </c>
      <c r="AF433" t="str">
        <f t="shared" si="375"/>
        <v>1+479,262697895515i</v>
      </c>
      <c r="AG433">
        <f t="shared" si="394"/>
        <v>479.26374116355561</v>
      </c>
      <c r="AH433">
        <f t="shared" si="395"/>
        <v>1.5687097914705728</v>
      </c>
      <c r="AI433" t="str">
        <f t="shared" si="376"/>
        <v>1+26,6257054386397i</v>
      </c>
      <c r="AJ433">
        <f t="shared" si="396"/>
        <v>26.644477666210829</v>
      </c>
      <c r="AK433">
        <f t="shared" si="397"/>
        <v>1.5332562808989387</v>
      </c>
      <c r="AL433" t="str">
        <f t="shared" si="377"/>
        <v>1-1,81164978795317i</v>
      </c>
      <c r="AM433">
        <f t="shared" si="398"/>
        <v>2.0693175092746801</v>
      </c>
      <c r="AN433">
        <f t="shared" si="399"/>
        <v>-1.0664318852964378</v>
      </c>
      <c r="AO433" s="58" t="str">
        <f t="shared" si="400"/>
        <v>1,09362085660694-2,15876086479718i</v>
      </c>
      <c r="AP433">
        <f t="shared" si="401"/>
        <v>7.6761998268979905</v>
      </c>
      <c r="AQ433" s="60">
        <f t="shared" si="402"/>
        <v>-63.133382690342494</v>
      </c>
      <c r="AR433" t="str">
        <f t="shared" si="378"/>
        <v>-1,05811623246493</v>
      </c>
      <c r="AS433" t="str">
        <f t="shared" si="379"/>
        <v>1+26,2422952803233i</v>
      </c>
      <c r="AT433">
        <f t="shared" si="403"/>
        <v>26.261341579966523</v>
      </c>
      <c r="AU433">
        <f t="shared" si="404"/>
        <v>1.5327083326826803</v>
      </c>
      <c r="AV433" t="str">
        <f t="shared" si="380"/>
        <v>1+26,2422952803233i</v>
      </c>
      <c r="AW433">
        <f t="shared" si="405"/>
        <v>26.261341579966523</v>
      </c>
      <c r="AX433">
        <f t="shared" si="406"/>
        <v>1.5327083326826803</v>
      </c>
      <c r="AY433" t="str">
        <f t="shared" si="381"/>
        <v>1-0,000969981672054101i</v>
      </c>
      <c r="AZ433">
        <f t="shared" si="407"/>
        <v>1.0000004704321115</v>
      </c>
      <c r="BA433">
        <f t="shared" si="408"/>
        <v>-9.6998136784718389E-4</v>
      </c>
      <c r="BB433" s="58" t="str">
        <f t="shared" si="409"/>
        <v>-0,0014952081649963+0,0402640475237773i</v>
      </c>
      <c r="BC433">
        <f t="shared" si="410"/>
        <v>-27.895666547140866</v>
      </c>
      <c r="BD433" s="60">
        <f t="shared" si="411"/>
        <v>92.126705474165149</v>
      </c>
      <c r="BE433" s="58" t="str">
        <f t="shared" si="412"/>
        <v>0,00134810212093882-0,00890691423208121i</v>
      </c>
      <c r="BF433" s="37">
        <f t="shared" si="413"/>
        <v>-40.90708797476583</v>
      </c>
      <c r="BG433" s="60">
        <f t="shared" si="414"/>
        <v>-81.393346526464029</v>
      </c>
      <c r="BH433" s="58" t="str">
        <f t="shared" si="415"/>
        <v>0,0852852592184553+0,0472613990147351i</v>
      </c>
      <c r="BI433" s="37">
        <f t="shared" si="416"/>
        <v>-20.219466720242881</v>
      </c>
      <c r="BJ433" s="60">
        <f t="shared" si="417"/>
        <v>28.993322783822673</v>
      </c>
      <c r="BK433">
        <f t="shared" si="418"/>
        <v>-40.90708797476583</v>
      </c>
      <c r="BL433" s="60">
        <f t="shared" si="419"/>
        <v>-81.393346526464029</v>
      </c>
      <c r="BN433">
        <f t="shared" si="420"/>
        <v>0</v>
      </c>
      <c r="BO433">
        <f t="shared" si="421"/>
        <v>0</v>
      </c>
    </row>
    <row r="434" spans="13:67" x14ac:dyDescent="0.25">
      <c r="M434" s="66">
        <v>16</v>
      </c>
      <c r="N434" s="36">
        <f t="shared" si="422"/>
        <v>144543.97707459307</v>
      </c>
      <c r="O434" s="91" t="str">
        <f t="shared" si="370"/>
        <v>13,7404580152672</v>
      </c>
      <c r="P434" s="67" t="str">
        <f t="shared" si="371"/>
        <v>1+980,852320436097i</v>
      </c>
      <c r="Q434" s="67">
        <f t="shared" si="382"/>
        <v>980.85283019669976</v>
      </c>
      <c r="R434" s="67">
        <f t="shared" si="383"/>
        <v>1.5697768056777106</v>
      </c>
      <c r="S434" s="67" t="str">
        <f t="shared" si="372"/>
        <v>1+27,2458977898916i</v>
      </c>
      <c r="T434" s="67">
        <f t="shared" si="384"/>
        <v>27.264243000259881</v>
      </c>
      <c r="U434" s="67">
        <f t="shared" si="385"/>
        <v>1.5341100212412653</v>
      </c>
      <c r="V434" t="str">
        <f t="shared" si="373"/>
        <v>1-5,67622870622741i</v>
      </c>
      <c r="W434" s="67">
        <f t="shared" si="386"/>
        <v>5.7636422794444915</v>
      </c>
      <c r="X434" s="67">
        <f t="shared" si="387"/>
        <v>-1.3964124423940474</v>
      </c>
      <c r="Y434" t="str">
        <f t="shared" si="374"/>
        <v>-0,33714952374659+9,84919562175724i</v>
      </c>
      <c r="Z434" s="67">
        <f t="shared" si="388"/>
        <v>9.854964444228326</v>
      </c>
      <c r="AA434" s="67">
        <f t="shared" si="389"/>
        <v>1.6050141392539465</v>
      </c>
      <c r="AB434" s="92" t="str">
        <f t="shared" si="390"/>
        <v>-0,222155547377977-0,0232999709040627i</v>
      </c>
      <c r="AC434" s="37">
        <f t="shared" si="391"/>
        <v>-13.019344789413626</v>
      </c>
      <c r="AD434" s="60">
        <f t="shared" si="392"/>
        <v>-174.01263186381902</v>
      </c>
      <c r="AE434" t="str">
        <f t="shared" si="393"/>
        <v>21,0353732052265</v>
      </c>
      <c r="AF434" t="str">
        <f t="shared" si="375"/>
        <v>1+490,426160218049i</v>
      </c>
      <c r="AG434">
        <f t="shared" si="394"/>
        <v>490.42717973845976</v>
      </c>
      <c r="AH434">
        <f t="shared" si="395"/>
        <v>1.5687572866799482</v>
      </c>
      <c r="AI434" t="str">
        <f t="shared" si="376"/>
        <v>1+27,2458977898916i</v>
      </c>
      <c r="AJ434">
        <f t="shared" si="396"/>
        <v>27.264243000259881</v>
      </c>
      <c r="AK434">
        <f t="shared" si="397"/>
        <v>1.5341100212412653</v>
      </c>
      <c r="AL434" t="str">
        <f t="shared" si="377"/>
        <v>1-1,8538485324794i</v>
      </c>
      <c r="AM434">
        <f t="shared" si="398"/>
        <v>2.1063604585578477</v>
      </c>
      <c r="AN434">
        <f t="shared" si="399"/>
        <v>-1.0761134708820819</v>
      </c>
      <c r="AO434" s="58" t="str">
        <f t="shared" si="400"/>
        <v>1,09361694911297-2,20712852769246i</v>
      </c>
      <c r="AP434">
        <f t="shared" si="401"/>
        <v>7.8300365574613116</v>
      </c>
      <c r="AQ434" s="60">
        <f t="shared" si="402"/>
        <v>-63.641902240023548</v>
      </c>
      <c r="AR434" t="str">
        <f t="shared" si="378"/>
        <v>-1,05811623246493</v>
      </c>
      <c r="AS434" t="str">
        <f t="shared" si="379"/>
        <v>1+26,8535568617172i</v>
      </c>
      <c r="AT434">
        <f t="shared" si="403"/>
        <v>26.872169918439386</v>
      </c>
      <c r="AU434">
        <f t="shared" si="404"/>
        <v>1.5335745114016748</v>
      </c>
      <c r="AV434" t="str">
        <f t="shared" si="380"/>
        <v>1+26,8535568617172i</v>
      </c>
      <c r="AW434">
        <f t="shared" si="405"/>
        <v>26.872169918439386</v>
      </c>
      <c r="AX434">
        <f t="shared" si="406"/>
        <v>1.5335745114016748</v>
      </c>
      <c r="AY434" t="str">
        <f t="shared" si="381"/>
        <v>1-0,00094790219357622i</v>
      </c>
      <c r="AZ434">
        <f t="shared" si="407"/>
        <v>1.0000004492591834</v>
      </c>
      <c r="BA434">
        <f t="shared" si="408"/>
        <v>-9.4790190967379898E-4</v>
      </c>
      <c r="BB434" s="58" t="str">
        <f t="shared" si="409"/>
        <v>-0,00142800590447649+0,0393500284525393i</v>
      </c>
      <c r="BC434">
        <f t="shared" si="410"/>
        <v>-28.095383299148043</v>
      </c>
      <c r="BD434" s="60">
        <f t="shared" si="411"/>
        <v>92.078342149029993</v>
      </c>
      <c r="BE434" s="58" t="str">
        <f t="shared" si="412"/>
        <v>0,00123409395138616-0,00870855461418771i</v>
      </c>
      <c r="BF434" s="37">
        <f t="shared" si="413"/>
        <v>-41.114728088561669</v>
      </c>
      <c r="BG434" s="60">
        <f t="shared" si="414"/>
        <v>-81.93428971478906</v>
      </c>
      <c r="BH434" s="58" t="str">
        <f t="shared" si="415"/>
        <v>0,0852888789025406+0,0461856506332579i</v>
      </c>
      <c r="BI434" s="37">
        <f t="shared" si="416"/>
        <v>-20.265346741686731</v>
      </c>
      <c r="BJ434" s="60">
        <f t="shared" si="417"/>
        <v>28.436439909006435</v>
      </c>
      <c r="BK434">
        <f t="shared" si="418"/>
        <v>-41.114728088561669</v>
      </c>
      <c r="BL434" s="60">
        <f t="shared" si="419"/>
        <v>-81.93428971478906</v>
      </c>
      <c r="BN434">
        <f t="shared" si="420"/>
        <v>0</v>
      </c>
      <c r="BO434">
        <f t="shared" si="421"/>
        <v>0</v>
      </c>
    </row>
    <row r="435" spans="13:67" x14ac:dyDescent="0.25">
      <c r="M435" s="66">
        <v>17</v>
      </c>
      <c r="N435" s="36">
        <f t="shared" si="422"/>
        <v>147910.83881682079</v>
      </c>
      <c r="O435" s="91" t="str">
        <f t="shared" si="370"/>
        <v>13,7404580152672</v>
      </c>
      <c r="P435" s="67" t="str">
        <f t="shared" si="371"/>
        <v>1+1003,69930596457i</v>
      </c>
      <c r="Q435" s="67">
        <f t="shared" si="382"/>
        <v>1003.6998041216107</v>
      </c>
      <c r="R435" s="67">
        <f t="shared" si="383"/>
        <v>1.5698000127960956</v>
      </c>
      <c r="S435" s="67" t="str">
        <f t="shared" si="372"/>
        <v>1+27,8805362767937i</v>
      </c>
      <c r="T435" s="67">
        <f t="shared" si="384"/>
        <v>27.898464170660173</v>
      </c>
      <c r="U435" s="67">
        <f t="shared" si="385"/>
        <v>1.5349443797834581</v>
      </c>
      <c r="V435" t="str">
        <f t="shared" si="373"/>
        <v>1-5,80844505766535i</v>
      </c>
      <c r="W435" s="67">
        <f t="shared" si="386"/>
        <v>5.8938980299897477</v>
      </c>
      <c r="X435" s="67">
        <f t="shared" si="387"/>
        <v>-1.4003045660400915</v>
      </c>
      <c r="Y435" t="str">
        <f t="shared" si="374"/>
        <v>-0,40016743932772+10,0786128593464i</v>
      </c>
      <c r="Z435" s="67">
        <f t="shared" si="388"/>
        <v>10.086553977849954</v>
      </c>
      <c r="AA435" s="67">
        <f t="shared" si="389"/>
        <v>1.610480096913832</v>
      </c>
      <c r="AB435" s="92" t="str">
        <f t="shared" si="390"/>
        <v>-0,222144286714457-0,0213809253793304i</v>
      </c>
      <c r="AC435" s="37">
        <f t="shared" si="391"/>
        <v>-13.027250666490575</v>
      </c>
      <c r="AD435" s="60">
        <f t="shared" si="392"/>
        <v>-174.50233487385887</v>
      </c>
      <c r="AE435" t="str">
        <f t="shared" si="393"/>
        <v>21,0353732052265</v>
      </c>
      <c r="AF435" t="str">
        <f t="shared" si="375"/>
        <v>1+501,849652982287i</v>
      </c>
      <c r="AG435">
        <f t="shared" si="394"/>
        <v>501.85064929562645</v>
      </c>
      <c r="AH435">
        <f t="shared" si="395"/>
        <v>1.568803700775256</v>
      </c>
      <c r="AI435" t="str">
        <f t="shared" si="376"/>
        <v>1+27,8805362767937i</v>
      </c>
      <c r="AJ435">
        <f t="shared" si="396"/>
        <v>27.898464170660173</v>
      </c>
      <c r="AK435">
        <f t="shared" si="397"/>
        <v>1.5349443797834581</v>
      </c>
      <c r="AL435" t="str">
        <f t="shared" si="377"/>
        <v>1-1,89703021203612i</v>
      </c>
      <c r="AM435">
        <f t="shared" si="398"/>
        <v>2.1444634819408339</v>
      </c>
      <c r="AN435">
        <f t="shared" si="399"/>
        <v>-1.0856734027472339</v>
      </c>
      <c r="AO435" s="58" t="str">
        <f t="shared" si="400"/>
        <v>1,09361321748377-2,25666643863051i</v>
      </c>
      <c r="AP435">
        <f t="shared" si="401"/>
        <v>7.9854936394427085</v>
      </c>
      <c r="AQ435" s="60">
        <f t="shared" si="402"/>
        <v>-64.144500097032065</v>
      </c>
      <c r="AR435" t="str">
        <f t="shared" si="378"/>
        <v>-1,05811623246493</v>
      </c>
      <c r="AS435" t="str">
        <f t="shared" si="379"/>
        <v>1+27,4790565544079i</v>
      </c>
      <c r="AT435">
        <f t="shared" si="403"/>
        <v>27.497246209763404</v>
      </c>
      <c r="AU435">
        <f t="shared" si="404"/>
        <v>1.5344210274836951</v>
      </c>
      <c r="AV435" t="str">
        <f t="shared" si="380"/>
        <v>1+27,4790565544079i</v>
      </c>
      <c r="AW435">
        <f t="shared" si="405"/>
        <v>27.497246209763404</v>
      </c>
      <c r="AX435">
        <f t="shared" si="406"/>
        <v>1.5344210274836951</v>
      </c>
      <c r="AY435" t="str">
        <f t="shared" si="381"/>
        <v>1-0,000926325305388344i</v>
      </c>
      <c r="AZ435">
        <f t="shared" si="407"/>
        <v>1.0000004290391937</v>
      </c>
      <c r="BA435">
        <f t="shared" si="408"/>
        <v>-9.263250404351822E-4</v>
      </c>
      <c r="BB435" s="58" t="str">
        <f t="shared" si="409"/>
        <v>-0,0013638200548449+0,038456648259293i</v>
      </c>
      <c r="BC435">
        <f t="shared" si="410"/>
        <v>-28.295112782146319</v>
      </c>
      <c r="BD435" s="60">
        <f t="shared" si="411"/>
        <v>92.031076613782758</v>
      </c>
      <c r="BE435" s="58" t="str">
        <f t="shared" si="412"/>
        <v>0,00112520356006149-0,00851376496216593i</v>
      </c>
      <c r="BF435" s="37">
        <f t="shared" si="413"/>
        <v>-41.322363448636892</v>
      </c>
      <c r="BG435" s="60">
        <f t="shared" si="414"/>
        <v>-82.471258260076127</v>
      </c>
      <c r="BH435" s="58" t="str">
        <f t="shared" si="415"/>
        <v>0,0852923358307171+0,0451343857825868i</v>
      </c>
      <c r="BI435" s="37">
        <f t="shared" si="416"/>
        <v>-20.309619142703607</v>
      </c>
      <c r="BJ435" s="60">
        <f t="shared" si="417"/>
        <v>27.886576516750729</v>
      </c>
      <c r="BK435">
        <f t="shared" si="418"/>
        <v>-41.322363448636892</v>
      </c>
      <c r="BL435" s="60">
        <f t="shared" si="419"/>
        <v>-82.471258260076127</v>
      </c>
      <c r="BN435">
        <f t="shared" si="420"/>
        <v>0</v>
      </c>
      <c r="BO435">
        <f t="shared" si="421"/>
        <v>0</v>
      </c>
    </row>
    <row r="436" spans="13:67" x14ac:dyDescent="0.25">
      <c r="M436" s="66">
        <v>18</v>
      </c>
      <c r="N436" s="36">
        <f t="shared" si="422"/>
        <v>151356.12484362084</v>
      </c>
      <c r="O436" s="91" t="str">
        <f t="shared" si="370"/>
        <v>13,7404580152672</v>
      </c>
      <c r="P436" s="67" t="str">
        <f t="shared" si="371"/>
        <v>1+1027,0784661506i</v>
      </c>
      <c r="Q436" s="67">
        <f t="shared" si="382"/>
        <v>1027.0789529682074</v>
      </c>
      <c r="R436" s="67">
        <f t="shared" si="383"/>
        <v>1.5698226916570095</v>
      </c>
      <c r="S436" s="67" t="str">
        <f t="shared" si="372"/>
        <v>1+28,5299573930724i</v>
      </c>
      <c r="T436" s="67">
        <f t="shared" si="384"/>
        <v>28.547477451616047</v>
      </c>
      <c r="U436" s="67">
        <f t="shared" si="385"/>
        <v>1.5357597942640697</v>
      </c>
      <c r="V436" t="str">
        <f t="shared" si="373"/>
        <v>1-5,94374112355674i</v>
      </c>
      <c r="W436" s="67">
        <f t="shared" si="386"/>
        <v>6.0272762126734776</v>
      </c>
      <c r="X436" s="67">
        <f t="shared" si="387"/>
        <v>-1.4041131409858281</v>
      </c>
      <c r="Y436" t="str">
        <f t="shared" si="374"/>
        <v>-0,46615529777138+10,3133739108799i</v>
      </c>
      <c r="Z436" s="67">
        <f t="shared" si="388"/>
        <v>10.323903437521027</v>
      </c>
      <c r="AA436" s="67">
        <f t="shared" si="389"/>
        <v>1.6159646921531117</v>
      </c>
      <c r="AB436" s="92" t="str">
        <f t="shared" si="390"/>
        <v>-0,222115798934157-0,0194741240761154i</v>
      </c>
      <c r="AC436" s="37">
        <f t="shared" si="391"/>
        <v>-13.035154421381135</v>
      </c>
      <c r="AD436" s="60">
        <f t="shared" si="392"/>
        <v>-174.98937389847873</v>
      </c>
      <c r="AE436" t="str">
        <f t="shared" si="393"/>
        <v>21,0353732052265</v>
      </c>
      <c r="AF436" t="str">
        <f t="shared" si="375"/>
        <v>1+513,539233075303i</v>
      </c>
      <c r="AG436">
        <f t="shared" si="394"/>
        <v>513.5402067098255</v>
      </c>
      <c r="AH436">
        <f t="shared" si="395"/>
        <v>1.5688490583650636</v>
      </c>
      <c r="AI436" t="str">
        <f t="shared" si="376"/>
        <v>1+28,5299573930724i</v>
      </c>
      <c r="AJ436">
        <f t="shared" si="396"/>
        <v>28.547477451616047</v>
      </c>
      <c r="AK436">
        <f t="shared" si="397"/>
        <v>1.5357597942640697</v>
      </c>
      <c r="AL436" t="str">
        <f t="shared" si="377"/>
        <v>1-1,94121772212144i</v>
      </c>
      <c r="AM436">
        <f t="shared" si="398"/>
        <v>2.1836497532063959</v>
      </c>
      <c r="AN436">
        <f t="shared" si="399"/>
        <v>-1.0951097592409833</v>
      </c>
      <c r="AO436" s="58" t="str">
        <f t="shared" si="400"/>
        <v>1,09360965380425-2,30740086331535i</v>
      </c>
      <c r="AP436">
        <f t="shared" si="401"/>
        <v>8.1425297901327642</v>
      </c>
      <c r="AQ436" s="60">
        <f t="shared" si="402"/>
        <v>-64.641042488276639</v>
      </c>
      <c r="AR436" t="str">
        <f t="shared" si="378"/>
        <v>-1,05811623246493</v>
      </c>
      <c r="AS436" t="str">
        <f t="shared" si="379"/>
        <v>1+28,1191260066121i</v>
      </c>
      <c r="AT436">
        <f t="shared" si="403"/>
        <v>28.136901879484331</v>
      </c>
      <c r="AU436">
        <f t="shared" si="404"/>
        <v>1.5352483249071662</v>
      </c>
      <c r="AV436" t="str">
        <f t="shared" si="380"/>
        <v>1+28,1191260066121i</v>
      </c>
      <c r="AW436">
        <f t="shared" si="405"/>
        <v>28.136901879484331</v>
      </c>
      <c r="AX436">
        <f t="shared" si="406"/>
        <v>1.5352483249071662</v>
      </c>
      <c r="AY436" t="str">
        <f t="shared" si="381"/>
        <v>1-0,000905239567138748i</v>
      </c>
      <c r="AZ436">
        <f t="shared" si="407"/>
        <v>1.000000409729253</v>
      </c>
      <c r="BA436">
        <f t="shared" si="408"/>
        <v>-9.0523931987006453E-4</v>
      </c>
      <c r="BB436" s="58" t="str">
        <f t="shared" si="409"/>
        <v>-0,00130251557439982+0,0375834482423822i</v>
      </c>
      <c r="BC436">
        <f t="shared" si="410"/>
        <v>-28.494854424664222</v>
      </c>
      <c r="BD436" s="60">
        <f t="shared" si="411"/>
        <v>91.984884085812197</v>
      </c>
      <c r="BE436" s="58" t="str">
        <f t="shared" si="412"/>
        <v>0,00102121402171241-0,00832251228315033i</v>
      </c>
      <c r="BF436" s="37">
        <f t="shared" si="413"/>
        <v>-41.530008846045362</v>
      </c>
      <c r="BG436" s="60">
        <f t="shared" si="414"/>
        <v>-83.004489812666549</v>
      </c>
      <c r="BH436" s="58" t="str">
        <f t="shared" si="415"/>
        <v>0,0852956373144464+0,0441070473819734i</v>
      </c>
      <c r="BI436" s="37">
        <f t="shared" si="416"/>
        <v>-20.352324634531463</v>
      </c>
      <c r="BJ436" s="60">
        <f t="shared" si="417"/>
        <v>27.34384159753559</v>
      </c>
      <c r="BK436">
        <f t="shared" si="418"/>
        <v>-41.530008846045362</v>
      </c>
      <c r="BL436" s="60">
        <f t="shared" si="419"/>
        <v>-83.004489812666549</v>
      </c>
      <c r="BN436">
        <f t="shared" si="420"/>
        <v>0</v>
      </c>
      <c r="BO436">
        <f t="shared" si="421"/>
        <v>0</v>
      </c>
    </row>
    <row r="437" spans="13:67" x14ac:dyDescent="0.25">
      <c r="M437" s="66">
        <v>19</v>
      </c>
      <c r="N437" s="36">
        <f t="shared" si="422"/>
        <v>154881.66189124843</v>
      </c>
      <c r="O437" s="91" t="str">
        <f t="shared" si="370"/>
        <v>13,7404580152672</v>
      </c>
      <c r="P437" s="67" t="str">
        <f t="shared" si="371"/>
        <v>1+1051,00219693438i</v>
      </c>
      <c r="Q437" s="67">
        <f t="shared" si="382"/>
        <v>1051.0026726706708</v>
      </c>
      <c r="R437" s="67">
        <f t="shared" si="383"/>
        <v>1.5698448542849912</v>
      </c>
      <c r="S437" s="67" t="str">
        <f t="shared" si="372"/>
        <v>1+29,1945054703995i</v>
      </c>
      <c r="T437" s="67">
        <f t="shared" si="384"/>
        <v>29.211626960188067</v>
      </c>
      <c r="U437" s="67">
        <f t="shared" si="385"/>
        <v>1.5365566926868155</v>
      </c>
      <c r="V437" t="str">
        <f t="shared" si="373"/>
        <v>1-6,08218863966656i</v>
      </c>
      <c r="W437" s="67">
        <f t="shared" si="386"/>
        <v>6.1638477145764208</v>
      </c>
      <c r="X437" s="67">
        <f t="shared" si="387"/>
        <v>-1.4078397444118385</v>
      </c>
      <c r="Y437" t="str">
        <f t="shared" si="374"/>
        <v>-0,53525306817248+10,5536032497746i</v>
      </c>
      <c r="Z437" s="67">
        <f t="shared" si="388"/>
        <v>10.567167898762706</v>
      </c>
      <c r="AA437" s="67">
        <f t="shared" si="389"/>
        <v>1.6214704732252598</v>
      </c>
      <c r="AB437" s="92" t="str">
        <f t="shared" si="390"/>
        <v>-0,222070053107339-0,0175788424724525i</v>
      </c>
      <c r="AC437" s="37">
        <f t="shared" si="391"/>
        <v>-13.043071449725574</v>
      </c>
      <c r="AD437" s="60">
        <f t="shared" si="392"/>
        <v>-175.47396147378754</v>
      </c>
      <c r="AE437" t="str">
        <f t="shared" si="393"/>
        <v>21,0353732052265</v>
      </c>
      <c r="AF437" t="str">
        <f t="shared" si="375"/>
        <v>1+525,501098467191i</v>
      </c>
      <c r="AG437">
        <f t="shared" si="394"/>
        <v>525.50204993912666</v>
      </c>
      <c r="AH437">
        <f t="shared" si="395"/>
        <v>1.5688933834978185</v>
      </c>
      <c r="AI437" t="str">
        <f t="shared" si="376"/>
        <v>1+29,1945054703995i</v>
      </c>
      <c r="AJ437">
        <f t="shared" si="396"/>
        <v>29.211626960188067</v>
      </c>
      <c r="AK437">
        <f t="shared" si="397"/>
        <v>1.5365566926868155</v>
      </c>
      <c r="AL437" t="str">
        <f t="shared" si="377"/>
        <v>1-1,98643449153808i</v>
      </c>
      <c r="AM437">
        <f t="shared" si="398"/>
        <v>2.2239428925159368</v>
      </c>
      <c r="AN437">
        <f t="shared" si="399"/>
        <v>-1.1044208207070818</v>
      </c>
      <c r="AO437" s="58" t="str">
        <f t="shared" si="400"/>
        <v>1,09360625051553-2,35935870185516i</v>
      </c>
      <c r="AP437">
        <f t="shared" si="401"/>
        <v>8.3011036810879517</v>
      </c>
      <c r="AQ437" s="60">
        <f t="shared" si="402"/>
        <v>-65.131407739780329</v>
      </c>
      <c r="AR437" t="str">
        <f t="shared" si="378"/>
        <v>-1,05811623246493</v>
      </c>
      <c r="AS437" t="str">
        <f t="shared" si="379"/>
        <v>1+28,7741045916257i</v>
      </c>
      <c r="AT437">
        <f t="shared" si="403"/>
        <v>28.791476083205861</v>
      </c>
      <c r="AU437">
        <f t="shared" si="404"/>
        <v>1.5360568377837878</v>
      </c>
      <c r="AV437" t="str">
        <f t="shared" si="380"/>
        <v>1+28,7741045916257i</v>
      </c>
      <c r="AW437">
        <f t="shared" si="405"/>
        <v>28.791476083205861</v>
      </c>
      <c r="AX437">
        <f t="shared" si="406"/>
        <v>1.5360568377837878</v>
      </c>
      <c r="AY437" t="str">
        <f t="shared" si="381"/>
        <v>1-0,000884633798889909i</v>
      </c>
      <c r="AZ437">
        <f t="shared" si="407"/>
        <v>1.0000003912884026</v>
      </c>
      <c r="BA437">
        <f t="shared" si="408"/>
        <v>-8.846335681253416E-4</v>
      </c>
      <c r="BB437" s="58" t="str">
        <f t="shared" si="409"/>
        <v>-0,0012439634362198+0,0367299794043391i</v>
      </c>
      <c r="BC437">
        <f t="shared" si="410"/>
        <v>-28.694607680817438</v>
      </c>
      <c r="BD437" s="60">
        <f t="shared" si="411"/>
        <v>91.939740332908457</v>
      </c>
      <c r="BE437" s="58" t="str">
        <f t="shared" si="412"/>
        <v>0,000921917548310221-0,00813476103966625i</v>
      </c>
      <c r="BF437" s="37">
        <f t="shared" si="413"/>
        <v>-41.737679130543015</v>
      </c>
      <c r="BG437" s="60">
        <f t="shared" si="414"/>
        <v>-83.534221140879069</v>
      </c>
      <c r="BH437" s="58" t="str">
        <f t="shared" si="415"/>
        <v>0,0852987903373255+0,0431030910159268i</v>
      </c>
      <c r="BI437" s="37">
        <f t="shared" si="416"/>
        <v>-20.393503999729489</v>
      </c>
      <c r="BJ437" s="60">
        <f t="shared" si="417"/>
        <v>26.808332593128174</v>
      </c>
      <c r="BK437">
        <f t="shared" si="418"/>
        <v>-41.737679130543015</v>
      </c>
      <c r="BL437" s="60">
        <f t="shared" si="419"/>
        <v>-83.534221140879069</v>
      </c>
      <c r="BN437">
        <f t="shared" si="420"/>
        <v>0</v>
      </c>
      <c r="BO437">
        <f t="shared" si="421"/>
        <v>0</v>
      </c>
    </row>
    <row r="438" spans="13:67" x14ac:dyDescent="0.25">
      <c r="M438" s="66">
        <v>20</v>
      </c>
      <c r="N438" s="36">
        <f t="shared" si="422"/>
        <v>158489.31924611164</v>
      </c>
      <c r="O438" s="91" t="str">
        <f t="shared" si="370"/>
        <v>13,7404580152672</v>
      </c>
      <c r="P438" s="67" t="str">
        <f t="shared" si="371"/>
        <v>1+1075,48318299463i</v>
      </c>
      <c r="Q438" s="67">
        <f t="shared" si="382"/>
        <v>1075.4836479018454</v>
      </c>
      <c r="R438" s="67">
        <f t="shared" si="383"/>
        <v>1.5698665124308722</v>
      </c>
      <c r="S438" s="67" t="str">
        <f t="shared" si="372"/>
        <v>1+29,8745328609619i</v>
      </c>
      <c r="T438" s="67">
        <f t="shared" si="384"/>
        <v>29.891264838756697</v>
      </c>
      <c r="U438" s="67">
        <f t="shared" si="385"/>
        <v>1.5373354935269303</v>
      </c>
      <c r="V438" t="str">
        <f t="shared" si="373"/>
        <v>1-6,22386101270039i</v>
      </c>
      <c r="W438" s="67">
        <f t="shared" si="386"/>
        <v>6.303685105191402</v>
      </c>
      <c r="X438" s="67">
        <f t="shared" si="387"/>
        <v>-1.4114859379756799</v>
      </c>
      <c r="Y438" t="str">
        <f t="shared" si="374"/>
        <v>-0,60760731616614+10,7994282488057i</v>
      </c>
      <c r="Z438" s="67">
        <f t="shared" si="388"/>
        <v>10.816507622692326</v>
      </c>
      <c r="AA438" s="67">
        <f t="shared" si="389"/>
        <v>1.6269999874876693</v>
      </c>
      <c r="AB438" s="92" t="str">
        <f t="shared" si="390"/>
        <v>-0,222006988358413-0,0156943668305895i</v>
      </c>
      <c r="AC438" s="37">
        <f t="shared" si="391"/>
        <v>-13.051017202327241</v>
      </c>
      <c r="AD438" s="60">
        <f t="shared" si="392"/>
        <v>-175.95630972540812</v>
      </c>
      <c r="AE438" t="str">
        <f t="shared" si="393"/>
        <v>21,0353732052265</v>
      </c>
      <c r="AF438" t="str">
        <f t="shared" si="375"/>
        <v>1+537,741591497315i</v>
      </c>
      <c r="AG438">
        <f t="shared" si="394"/>
        <v>537.74252131114315</v>
      </c>
      <c r="AH438">
        <f t="shared" si="395"/>
        <v>1.5689366996745959</v>
      </c>
      <c r="AI438" t="str">
        <f t="shared" si="376"/>
        <v>1+29,8745328609619i</v>
      </c>
      <c r="AJ438">
        <f t="shared" si="396"/>
        <v>29.891264838756697</v>
      </c>
      <c r="AK438">
        <f t="shared" si="397"/>
        <v>1.5373354935269303</v>
      </c>
      <c r="AL438" t="str">
        <f t="shared" si="377"/>
        <v>1-2,0327044948157i</v>
      </c>
      <c r="AM438">
        <f t="shared" si="398"/>
        <v>2.2653669820238731</v>
      </c>
      <c r="AN438">
        <f t="shared" si="399"/>
        <v>-1.1136050652398195</v>
      </c>
      <c r="AO438" s="58" t="str">
        <f t="shared" si="400"/>
        <v>1,09360300039895-2,41256750302538i</v>
      </c>
      <c r="AP438">
        <f t="shared" si="401"/>
        <v>8.4611740248678977</v>
      </c>
      <c r="AQ438" s="60">
        <f t="shared" si="402"/>
        <v>-65.615486022416533</v>
      </c>
      <c r="AR438" t="str">
        <f t="shared" si="378"/>
        <v>-1,05811623246493</v>
      </c>
      <c r="AS438" t="str">
        <f t="shared" si="379"/>
        <v>1+29,4443395877641i</v>
      </c>
      <c r="AT438">
        <f t="shared" si="403"/>
        <v>29.461315886422529</v>
      </c>
      <c r="AU438">
        <f t="shared" si="404"/>
        <v>1.5368469905672193</v>
      </c>
      <c r="AV438" t="str">
        <f t="shared" si="380"/>
        <v>1+29,4443395877641i</v>
      </c>
      <c r="AW438">
        <f t="shared" si="405"/>
        <v>29.461315886422529</v>
      </c>
      <c r="AX438">
        <f t="shared" si="406"/>
        <v>1.5368469905672193</v>
      </c>
      <c r="AY438" t="str">
        <f t="shared" si="381"/>
        <v>1-0,000864497075190757i</v>
      </c>
      <c r="AZ438">
        <f t="shared" si="407"/>
        <v>1.0000003736775267</v>
      </c>
      <c r="BA438">
        <f t="shared" si="408"/>
        <v>-8.6449685982872739E-4</v>
      </c>
      <c r="BB438" s="58" t="str">
        <f t="shared" si="409"/>
        <v>-0,00118804036298265+0,0358958022798095i</v>
      </c>
      <c r="BC438">
        <f t="shared" si="410"/>
        <v>-28.89437202916892</v>
      </c>
      <c r="BD438" s="60">
        <f t="shared" si="411"/>
        <v>91.89562166164599</v>
      </c>
      <c r="BE438" s="58" t="str">
        <f t="shared" si="412"/>
        <v>0,000827115151691655-0,00795047341758337i</v>
      </c>
      <c r="BF438" s="37">
        <f t="shared" si="413"/>
        <v>-41.945389231496151</v>
      </c>
      <c r="BG438" s="60">
        <f t="shared" si="414"/>
        <v>-84.060688063762129</v>
      </c>
      <c r="BH438" s="58" t="str">
        <f t="shared" si="415"/>
        <v>0,0853018015697399+0,0421219846469416i</v>
      </c>
      <c r="BI438" s="37">
        <f t="shared" si="416"/>
        <v>-20.433198004301016</v>
      </c>
      <c r="BJ438" s="60">
        <f t="shared" si="417"/>
        <v>26.280135639229474</v>
      </c>
      <c r="BK438">
        <f t="shared" si="418"/>
        <v>-41.945389231496151</v>
      </c>
      <c r="BL438" s="60">
        <f t="shared" si="419"/>
        <v>-84.060688063762129</v>
      </c>
      <c r="BN438">
        <f t="shared" si="420"/>
        <v>0</v>
      </c>
      <c r="BO438">
        <f t="shared" si="421"/>
        <v>0</v>
      </c>
    </row>
    <row r="439" spans="13:67" x14ac:dyDescent="0.25">
      <c r="M439" s="66">
        <v>21</v>
      </c>
      <c r="N439" s="36">
        <f t="shared" si="422"/>
        <v>162181.00973589328</v>
      </c>
      <c r="O439" s="91" t="str">
        <f t="shared" si="370"/>
        <v>13,7404580152672</v>
      </c>
      <c r="P439" s="67" t="str">
        <f t="shared" si="371"/>
        <v>1+1100,5344044742i</v>
      </c>
      <c r="Q439" s="67">
        <f t="shared" si="382"/>
        <v>1100.5348587988397</v>
      </c>
      <c r="R439" s="67">
        <f t="shared" si="383"/>
        <v>1.5698876775780071</v>
      </c>
      <c r="S439" s="67" t="str">
        <f t="shared" si="372"/>
        <v>1+30,5704001242833i</v>
      </c>
      <c r="T439" s="67">
        <f t="shared" si="384"/>
        <v>30.586751441739938</v>
      </c>
      <c r="U439" s="67">
        <f t="shared" si="385"/>
        <v>1.5380966059338355</v>
      </c>
      <c r="V439" t="str">
        <f t="shared" si="373"/>
        <v>1-6,36883335922569i</v>
      </c>
      <c r="W439" s="67">
        <f t="shared" si="386"/>
        <v>6.4468626755644474</v>
      </c>
      <c r="X439" s="67">
        <f t="shared" si="387"/>
        <v>-1.415053266939253</v>
      </c>
      <c r="Y439" t="str">
        <f t="shared" si="374"/>
        <v>-0,68337151481304+11,0509792476417i</v>
      </c>
      <c r="Z439" s="67">
        <f t="shared" si="388"/>
        <v>11.072088283565362</v>
      </c>
      <c r="AA439" s="67">
        <f t="shared" si="389"/>
        <v>1.6325557811457894</v>
      </c>
      <c r="AB439" s="92" t="str">
        <f t="shared" si="390"/>
        <v>-0,221926514002837-0,0138199950044491i</v>
      </c>
      <c r="AC439" s="37">
        <f t="shared" si="391"/>
        <v>-13.059007207495766</v>
      </c>
      <c r="AD439" s="60">
        <f t="shared" si="392"/>
        <v>-176.43663029256436</v>
      </c>
      <c r="AE439" t="str">
        <f t="shared" si="393"/>
        <v>21,0353732052265</v>
      </c>
      <c r="AF439" t="str">
        <f t="shared" si="375"/>
        <v>1+550,2672022371i</v>
      </c>
      <c r="AG439">
        <f t="shared" si="394"/>
        <v>550.26811088581667</v>
      </c>
      <c r="AH439">
        <f t="shared" si="395"/>
        <v>1.5689790298615554</v>
      </c>
      <c r="AI439" t="str">
        <f t="shared" si="376"/>
        <v>1+30,5704001242833i</v>
      </c>
      <c r="AJ439">
        <f t="shared" si="396"/>
        <v>30.586751441739938</v>
      </c>
      <c r="AK439">
        <f t="shared" si="397"/>
        <v>1.5380966059338355</v>
      </c>
      <c r="AL439" t="str">
        <f t="shared" si="377"/>
        <v>1-2,08005226492249i</v>
      </c>
      <c r="AM439">
        <f t="shared" si="398"/>
        <v>2.3079465818794809</v>
      </c>
      <c r="AN439">
        <f t="shared" si="399"/>
        <v>-1.1226611639479651</v>
      </c>
      <c r="AO439" s="58" t="str">
        <f t="shared" si="400"/>
        <v>1,09359989656073-2,46705547887561i</v>
      </c>
      <c r="AP439">
        <f t="shared" si="401"/>
        <v>8.6226996571928041</v>
      </c>
      <c r="AQ439" s="60">
        <f t="shared" si="402"/>
        <v>-66.093179069655193</v>
      </c>
      <c r="AR439" t="str">
        <f t="shared" si="378"/>
        <v>-1,05811623246493</v>
      </c>
      <c r="AS439" t="str">
        <f t="shared" si="379"/>
        <v>1+30,1301863624936i</v>
      </c>
      <c r="AT439">
        <f t="shared" si="403"/>
        <v>30.146776448545797</v>
      </c>
      <c r="AU439">
        <f t="shared" si="404"/>
        <v>1.5376191982580696</v>
      </c>
      <c r="AV439" t="str">
        <f t="shared" si="380"/>
        <v>1+30,1301863624936i</v>
      </c>
      <c r="AW439">
        <f t="shared" si="405"/>
        <v>30.146776448545797</v>
      </c>
      <c r="AX439">
        <f t="shared" si="406"/>
        <v>1.5376191982580696</v>
      </c>
      <c r="AY439" t="str">
        <f t="shared" si="381"/>
        <v>1-0,000844818719283845i</v>
      </c>
      <c r="AZ439">
        <f t="shared" si="407"/>
        <v>1.0000003568592706</v>
      </c>
      <c r="BA439">
        <f t="shared" si="408"/>
        <v>-8.4481851829630063E-4</v>
      </c>
      <c r="BB439" s="58" t="str">
        <f t="shared" si="409"/>
        <v>-0,00113462857323611+0,0350804867641787i</v>
      </c>
      <c r="BC439">
        <f t="shared" si="410"/>
        <v>-29.094146971639145</v>
      </c>
      <c r="BD439" s="60">
        <f t="shared" si="411"/>
        <v>91.852504905970349</v>
      </c>
      <c r="BE439" s="58" t="str">
        <f t="shared" si="412"/>
        <v>0,000736616315780895-0,00776960957588281i</v>
      </c>
      <c r="BF439" s="37">
        <f t="shared" si="413"/>
        <v>-42.153154179134916</v>
      </c>
      <c r="BG439" s="60">
        <f t="shared" si="414"/>
        <v>-84.584125386593996</v>
      </c>
      <c r="BH439" s="58" t="str">
        <f t="shared" si="415"/>
        <v>0,0853046773828645+0,0411632083346968i</v>
      </c>
      <c r="BI439" s="37">
        <f t="shared" si="416"/>
        <v>-20.471447314446344</v>
      </c>
      <c r="BJ439" s="60">
        <f t="shared" si="417"/>
        <v>25.759325836315153</v>
      </c>
      <c r="BK439">
        <f t="shared" si="418"/>
        <v>-42.153154179134916</v>
      </c>
      <c r="BL439" s="60">
        <f t="shared" si="419"/>
        <v>-84.584125386593996</v>
      </c>
      <c r="BN439">
        <f t="shared" si="420"/>
        <v>0</v>
      </c>
      <c r="BO439">
        <f t="shared" si="421"/>
        <v>0</v>
      </c>
    </row>
    <row r="440" spans="13:67" x14ac:dyDescent="0.25">
      <c r="M440" s="66">
        <v>22</v>
      </c>
      <c r="N440" s="36">
        <f t="shared" si="422"/>
        <v>165958.69074375604</v>
      </c>
      <c r="O440" s="91" t="str">
        <f t="shared" si="370"/>
        <v>13,7404580152672</v>
      </c>
      <c r="P440" s="67" t="str">
        <f t="shared" si="371"/>
        <v>1+1126,16914386232i</v>
      </c>
      <c r="Q440" s="67">
        <f t="shared" si="382"/>
        <v>1126.1695878452724</v>
      </c>
      <c r="R440" s="67">
        <f t="shared" si="383"/>
        <v>1.5699083609483608</v>
      </c>
      <c r="S440" s="67" t="str">
        <f t="shared" si="372"/>
        <v>1+31,2824762183979i</v>
      </c>
      <c r="T440" s="67">
        <f t="shared" si="384"/>
        <v>31.298455526665055</v>
      </c>
      <c r="U440" s="67">
        <f t="shared" si="385"/>
        <v>1.5388404299301364</v>
      </c>
      <c r="V440" t="str">
        <f t="shared" si="373"/>
        <v>1-6,51718254549956i</v>
      </c>
      <c r="W440" s="67">
        <f t="shared" si="386"/>
        <v>6.5934564783096983</v>
      </c>
      <c r="X440" s="67">
        <f t="shared" si="387"/>
        <v>-1.4185432593841318</v>
      </c>
      <c r="Y440" t="str">
        <f t="shared" si="374"/>
        <v>-0,76270637013643+11,3083896219518i</v>
      </c>
      <c r="Z440" s="67">
        <f t="shared" si="388"/>
        <v>11.334081208854728</v>
      </c>
      <c r="AA440" s="67">
        <f t="shared" si="389"/>
        <v>1.6381403989461432</v>
      </c>
      <c r="AB440" s="92" t="str">
        <f t="shared" si="390"/>
        <v>-0,221828509671712-0,0119550372668113i</v>
      </c>
      <c r="AC440" s="37">
        <f t="shared" si="391"/>
        <v>-13.067057093658857</v>
      </c>
      <c r="AD440" s="60">
        <f t="shared" si="392"/>
        <v>-176.91513425448113</v>
      </c>
      <c r="AE440" t="str">
        <f t="shared" si="393"/>
        <v>21,0353732052265</v>
      </c>
      <c r="AF440" t="str">
        <f t="shared" si="375"/>
        <v>1+563,084571931163i</v>
      </c>
      <c r="AG440">
        <f t="shared" si="394"/>
        <v>563.08545989654283</v>
      </c>
      <c r="AH440">
        <f t="shared" si="395"/>
        <v>1.5690203965021154</v>
      </c>
      <c r="AI440" t="str">
        <f t="shared" si="376"/>
        <v>1+31,2824762183979i</v>
      </c>
      <c r="AJ440">
        <f t="shared" si="396"/>
        <v>31.298455526665055</v>
      </c>
      <c r="AK440">
        <f t="shared" si="397"/>
        <v>1.5388404299301364</v>
      </c>
      <c r="AL440" t="str">
        <f t="shared" si="377"/>
        <v>1-2,1285029062729i</v>
      </c>
      <c r="AM440">
        <f t="shared" si="398"/>
        <v>2.3517067466017489</v>
      </c>
      <c r="AN440">
        <f t="shared" si="399"/>
        <v>-1.1315879757819529</v>
      </c>
      <c r="AO440" s="58" t="str">
        <f t="shared" si="400"/>
        <v>1,09359693241734-2,52285151968823i</v>
      </c>
      <c r="AP440">
        <f t="shared" si="401"/>
        <v>8.7856396143693711</v>
      </c>
      <c r="AQ440" s="60">
        <f t="shared" si="402"/>
        <v>-66.564399870478255</v>
      </c>
      <c r="AR440" t="str">
        <f t="shared" si="378"/>
        <v>-1,05811623246493</v>
      </c>
      <c r="AS440" t="str">
        <f t="shared" si="379"/>
        <v>1+30,832008560853i</v>
      </c>
      <c r="AT440">
        <f t="shared" si="403"/>
        <v>30.84822121122242</v>
      </c>
      <c r="AU440">
        <f t="shared" si="404"/>
        <v>1.538373866605204</v>
      </c>
      <c r="AV440" t="str">
        <f t="shared" si="380"/>
        <v>1+30,832008560853i</v>
      </c>
      <c r="AW440">
        <f t="shared" si="405"/>
        <v>30.84822121122242</v>
      </c>
      <c r="AX440">
        <f t="shared" si="406"/>
        <v>1.538373866605204</v>
      </c>
      <c r="AY440" t="str">
        <f t="shared" si="381"/>
        <v>1-0,000825588297444389i</v>
      </c>
      <c r="AZ440">
        <f t="shared" si="407"/>
        <v>1.0000003407979603</v>
      </c>
      <c r="BA440">
        <f t="shared" si="408"/>
        <v>-8.2558810987189515E-4</v>
      </c>
      <c r="BB440" s="58" t="str">
        <f t="shared" si="409"/>
        <v>-0,00108361553864675+0,034283611943089i</v>
      </c>
      <c r="BC440">
        <f t="shared" si="410"/>
        <v>-29.293932032464966</v>
      </c>
      <c r="BD440" s="60">
        <f t="shared" si="411"/>
        <v>91.810367415988466</v>
      </c>
      <c r="BE440" s="58" t="str">
        <f t="shared" si="412"/>
        <v>0,000650238678415644-0,00759212787935132i</v>
      </c>
      <c r="BF440" s="37">
        <f t="shared" si="413"/>
        <v>-42.360989126123826</v>
      </c>
      <c r="BG440" s="60">
        <f t="shared" si="414"/>
        <v>-85.104766838492679</v>
      </c>
      <c r="BH440" s="58" t="str">
        <f t="shared" si="415"/>
        <v>0,0853074238620398+0,0402262539615814i</v>
      </c>
      <c r="BI440" s="37">
        <f t="shared" si="416"/>
        <v>-20.508292418095593</v>
      </c>
      <c r="BJ440" s="60">
        <f t="shared" si="417"/>
        <v>25.245967545510229</v>
      </c>
      <c r="BK440">
        <f t="shared" si="418"/>
        <v>-42.360989126123826</v>
      </c>
      <c r="BL440" s="60">
        <f t="shared" si="419"/>
        <v>-85.104766838492679</v>
      </c>
      <c r="BN440">
        <f t="shared" si="420"/>
        <v>0</v>
      </c>
      <c r="BO440">
        <f t="shared" si="421"/>
        <v>0</v>
      </c>
    </row>
    <row r="441" spans="13:67" x14ac:dyDescent="0.25">
      <c r="M441" s="66">
        <v>23</v>
      </c>
      <c r="N441" s="36">
        <f t="shared" si="422"/>
        <v>169824.36524617471</v>
      </c>
      <c r="O441" s="91" t="str">
        <f t="shared" si="370"/>
        <v>13,7404580152672</v>
      </c>
      <c r="P441" s="67" t="str">
        <f t="shared" si="371"/>
        <v>1+1152,40099303713i</v>
      </c>
      <c r="Q441" s="67">
        <f t="shared" si="382"/>
        <v>1152.4014269138006</v>
      </c>
      <c r="R441" s="67">
        <f t="shared" si="383"/>
        <v>1.5699285735084594</v>
      </c>
      <c r="S441" s="67" t="str">
        <f t="shared" si="372"/>
        <v>1+32,0111386954758i</v>
      </c>
      <c r="T441" s="67">
        <f t="shared" si="384"/>
        <v>32.026754449693897</v>
      </c>
      <c r="U441" s="67">
        <f t="shared" si="385"/>
        <v>1.5395673566069701</v>
      </c>
      <c r="V441" t="str">
        <f t="shared" si="373"/>
        <v>1-6,66898722822413i</v>
      </c>
      <c r="W441" s="67">
        <f t="shared" si="386"/>
        <v>6.7435443685213903</v>
      </c>
      <c r="X441" s="67">
        <f t="shared" si="387"/>
        <v>-1.4219574255096799</v>
      </c>
      <c r="Y441" t="str">
        <f t="shared" si="374"/>
        <v>-0,84578016200102+11,5717958541236i</v>
      </c>
      <c r="Z441" s="67">
        <f t="shared" si="388"/>
        <v>11.602663632629646</v>
      </c>
      <c r="AA441" s="67">
        <f t="shared" si="389"/>
        <v>1.6437563838123177</v>
      </c>
      <c r="AB441" s="92" t="str">
        <f t="shared" si="390"/>
        <v>-0,221712825426113-0,0100988171598593i</v>
      </c>
      <c r="AC441" s="37">
        <f t="shared" si="391"/>
        <v>-13.075182612222529</v>
      </c>
      <c r="AD441" s="60">
        <f t="shared" si="392"/>
        <v>-177.39203205846147</v>
      </c>
      <c r="AE441" t="str">
        <f t="shared" si="393"/>
        <v>21,0353732052265</v>
      </c>
      <c r="AF441" t="str">
        <f t="shared" si="375"/>
        <v>1+576,200496518565i</v>
      </c>
      <c r="AG441">
        <f t="shared" si="394"/>
        <v>576.20136427141586</v>
      </c>
      <c r="AH441">
        <f t="shared" si="395"/>
        <v>1.5690608215288495</v>
      </c>
      <c r="AI441" t="str">
        <f t="shared" si="376"/>
        <v>1+32,0111386954758i</v>
      </c>
      <c r="AJ441">
        <f t="shared" si="396"/>
        <v>32.026754449693897</v>
      </c>
      <c r="AK441">
        <f t="shared" si="397"/>
        <v>1.5395673566069701</v>
      </c>
      <c r="AL441" t="str">
        <f t="shared" si="377"/>
        <v>1-2,17808210803827i</v>
      </c>
      <c r="AM441">
        <f t="shared" si="398"/>
        <v>2.3966730418136795</v>
      </c>
      <c r="AN441">
        <f t="shared" si="399"/>
        <v>-1.1403845419786378</v>
      </c>
      <c r="AO441" s="58" t="str">
        <f t="shared" si="400"/>
        <v>1,09359410168155-2,57998520929648i</v>
      </c>
      <c r="AP441">
        <f t="shared" si="401"/>
        <v>8.949953205878149</v>
      </c>
      <c r="AQ441" s="60">
        <f t="shared" si="402"/>
        <v>-67.02907234057632</v>
      </c>
      <c r="AR441" t="str">
        <f t="shared" si="378"/>
        <v>-1,05811623246493</v>
      </c>
      <c r="AS441" t="str">
        <f t="shared" si="379"/>
        <v>1+31,550178298261i</v>
      </c>
      <c r="AT441">
        <f t="shared" si="403"/>
        <v>31.566022091040541</v>
      </c>
      <c r="AU441">
        <f t="shared" si="404"/>
        <v>1.5391113923033879</v>
      </c>
      <c r="AV441" t="str">
        <f t="shared" si="380"/>
        <v>1+31,550178298261i</v>
      </c>
      <c r="AW441">
        <f t="shared" si="405"/>
        <v>31.566022091040541</v>
      </c>
      <c r="AX441">
        <f t="shared" si="406"/>
        <v>1.5391113923033879</v>
      </c>
      <c r="AY441" t="str">
        <f t="shared" si="381"/>
        <v>1-0,000806795613448197i</v>
      </c>
      <c r="AZ441">
        <f t="shared" si="407"/>
        <v>1.000000325459528</v>
      </c>
      <c r="BA441">
        <f t="shared" si="408"/>
        <v>-8.0679543839535714E-4</v>
      </c>
      <c r="BB441" s="58" t="str">
        <f t="shared" si="409"/>
        <v>-0,00103489375177194+0,033504765923032i</v>
      </c>
      <c r="BC441">
        <f t="shared" si="410"/>
        <v>-29.493726757203433</v>
      </c>
      <c r="BD441" s="60">
        <f t="shared" si="411"/>
        <v>91.769187046961477</v>
      </c>
      <c r="BE441" s="58" t="str">
        <f t="shared" si="412"/>
        <v>0,000567807722761772-0,00741798511525695i</v>
      </c>
      <c r="BF441" s="37">
        <f t="shared" si="413"/>
        <v>-42.56890936942596</v>
      </c>
      <c r="BG441" s="60">
        <f t="shared" si="414"/>
        <v>-85.62284501149999</v>
      </c>
      <c r="BH441" s="58" t="str">
        <f t="shared" si="415"/>
        <v>0,0853100468195584+0,0393106249644137i</v>
      </c>
      <c r="BI441" s="37">
        <f t="shared" si="416"/>
        <v>-20.543773551325284</v>
      </c>
      <c r="BJ441" s="60">
        <f t="shared" si="417"/>
        <v>24.740114706385143</v>
      </c>
      <c r="BK441">
        <f t="shared" si="418"/>
        <v>-42.56890936942596</v>
      </c>
      <c r="BL441" s="60">
        <f t="shared" si="419"/>
        <v>-85.62284501149999</v>
      </c>
      <c r="BN441">
        <f t="shared" si="420"/>
        <v>0</v>
      </c>
      <c r="BO441">
        <f t="shared" si="421"/>
        <v>0</v>
      </c>
    </row>
    <row r="442" spans="13:67" x14ac:dyDescent="0.25">
      <c r="M442" s="66">
        <v>24</v>
      </c>
      <c r="N442" s="36">
        <f t="shared" si="422"/>
        <v>173780.0828749378</v>
      </c>
      <c r="O442" s="91" t="str">
        <f t="shared" si="370"/>
        <v>13,7404580152672</v>
      </c>
      <c r="P442" s="67" t="str">
        <f t="shared" si="371"/>
        <v>1+1179,24386047228i</v>
      </c>
      <c r="Q442" s="67">
        <f t="shared" si="382"/>
        <v>1179.2442844727152</v>
      </c>
      <c r="R442" s="67">
        <f t="shared" si="383"/>
        <v>1.5699483259752038</v>
      </c>
      <c r="S442" s="67" t="str">
        <f t="shared" si="372"/>
        <v>1+32,7567739020078i</v>
      </c>
      <c r="T442" s="67">
        <f t="shared" si="384"/>
        <v>32.772034365709729</v>
      </c>
      <c r="U442" s="67">
        <f t="shared" si="385"/>
        <v>1.5402777683157312</v>
      </c>
      <c r="V442" t="str">
        <f t="shared" si="373"/>
        <v>1-6,82432789625163i</v>
      </c>
      <c r="W442" s="67">
        <f t="shared" si="386"/>
        <v>6.8972060456070317</v>
      </c>
      <c r="X442" s="67">
        <f t="shared" si="387"/>
        <v>-1.4252972570089859</v>
      </c>
      <c r="Y442" t="str">
        <f t="shared" si="374"/>
        <v>-0,9327691010573+11,8413376056283i</v>
      </c>
      <c r="Z442" s="67">
        <f t="shared" si="388"/>
        <v>11.878018963040688</v>
      </c>
      <c r="AA442" s="67">
        <f t="shared" si="389"/>
        <v>1.6494062764179982</v>
      </c>
      <c r="AB442" s="92" t="str">
        <f t="shared" si="390"/>
        <v>-0,221579281863655-0,00825067237264639i</v>
      </c>
      <c r="AC442" s="37">
        <f t="shared" si="391"/>
        <v>-13.083399660653063</v>
      </c>
      <c r="AD442" s="60">
        <f t="shared" si="392"/>
        <v>-177.86753344901496</v>
      </c>
      <c r="AE442" t="str">
        <f t="shared" si="393"/>
        <v>21,0353732052265</v>
      </c>
      <c r="AF442" t="str">
        <f t="shared" si="375"/>
        <v>1+589,621930236141i</v>
      </c>
      <c r="AG442">
        <f t="shared" si="394"/>
        <v>589.62277823655415</v>
      </c>
      <c r="AH442">
        <f t="shared" si="395"/>
        <v>1.5691003263751131</v>
      </c>
      <c r="AI442" t="str">
        <f t="shared" si="376"/>
        <v>1+32,7567739020078i</v>
      </c>
      <c r="AJ442">
        <f t="shared" si="396"/>
        <v>32.772034365709729</v>
      </c>
      <c r="AK442">
        <f t="shared" si="397"/>
        <v>1.5402777683157312</v>
      </c>
      <c r="AL442" t="str">
        <f t="shared" si="377"/>
        <v>1-2,22881615776766i</v>
      </c>
      <c r="AM442">
        <f t="shared" si="398"/>
        <v>2.4428715613241305</v>
      </c>
      <c r="AN442">
        <f t="shared" si="399"/>
        <v>-1.1490500801767574</v>
      </c>
      <c r="AO442" s="58" t="str">
        <f t="shared" si="400"/>
        <v>1,09359139834912-2,63848684077052i</v>
      </c>
      <c r="AP442">
        <f t="shared" si="401"/>
        <v>9.1156000820599541</v>
      </c>
      <c r="AQ442" s="60">
        <f t="shared" si="402"/>
        <v>-67.487130974870354</v>
      </c>
      <c r="AR442" t="str">
        <f t="shared" si="378"/>
        <v>-1,05811623246493</v>
      </c>
      <c r="AS442" t="str">
        <f t="shared" si="379"/>
        <v>1+32,2850763578189i</v>
      </c>
      <c r="AT442">
        <f t="shared" si="403"/>
        <v>32.300559676733116</v>
      </c>
      <c r="AU442">
        <f t="shared" si="404"/>
        <v>1.5398321631872911</v>
      </c>
      <c r="AV442" t="str">
        <f t="shared" si="380"/>
        <v>1+32,2850763578189i</v>
      </c>
      <c r="AW442">
        <f t="shared" si="405"/>
        <v>32.300559676733116</v>
      </c>
      <c r="AX442">
        <f t="shared" si="406"/>
        <v>1.5398321631872911</v>
      </c>
      <c r="AY442" t="str">
        <f t="shared" si="381"/>
        <v>1-0,000788430703165451i</v>
      </c>
      <c r="AZ442">
        <f t="shared" si="407"/>
        <v>1.0000003108114386</v>
      </c>
      <c r="BA442">
        <f t="shared" si="408"/>
        <v>-7.8843053979663253E-4</v>
      </c>
      <c r="BB442" s="58" t="str">
        <f t="shared" si="409"/>
        <v>-0,000988360503915738+0,0327435456631651i</v>
      </c>
      <c r="BC442">
        <f t="shared" si="410"/>
        <v>-29.693530711781047</v>
      </c>
      <c r="BD442" s="60">
        <f t="shared" si="411"/>
        <v>91.728942148498803</v>
      </c>
      <c r="BE442" s="58" t="str">
        <f t="shared" si="412"/>
        <v>0,000489156478265611-0,00724713669501004i</v>
      </c>
      <c r="BF442" s="37">
        <f t="shared" si="413"/>
        <v>-42.776930372434109</v>
      </c>
      <c r="BG442" s="60">
        <f t="shared" si="414"/>
        <v>-86.138591300516154</v>
      </c>
      <c r="BH442" s="58" t="str">
        <f t="shared" si="415"/>
        <v>0,0853125518068795+0,038415836072208i</v>
      </c>
      <c r="BI442" s="37">
        <f t="shared" si="416"/>
        <v>-20.577930629721095</v>
      </c>
      <c r="BJ442" s="60">
        <f t="shared" si="417"/>
        <v>24.241811173628463</v>
      </c>
      <c r="BK442">
        <f t="shared" si="418"/>
        <v>-42.776930372434109</v>
      </c>
      <c r="BL442" s="60">
        <f t="shared" si="419"/>
        <v>-86.138591300516154</v>
      </c>
      <c r="BN442">
        <f t="shared" si="420"/>
        <v>0</v>
      </c>
      <c r="BO442">
        <f t="shared" si="421"/>
        <v>0</v>
      </c>
    </row>
    <row r="443" spans="13:67" x14ac:dyDescent="0.25">
      <c r="M443" s="66">
        <v>25</v>
      </c>
      <c r="N443" s="36">
        <f t="shared" si="422"/>
        <v>177827.94100389251</v>
      </c>
      <c r="O443" s="91" t="str">
        <f t="shared" si="370"/>
        <v>13,7404580152672</v>
      </c>
      <c r="P443" s="67" t="str">
        <f t="shared" si="371"/>
        <v>1+1206,71197861139i</v>
      </c>
      <c r="Q443" s="67">
        <f t="shared" si="382"/>
        <v>1206.7123929604004</v>
      </c>
      <c r="R443" s="67">
        <f t="shared" si="383"/>
        <v>1.5699676288215514</v>
      </c>
      <c r="S443" s="67" t="str">
        <f t="shared" si="372"/>
        <v>1+33,5197771836498i</v>
      </c>
      <c r="T443" s="67">
        <f t="shared" si="384"/>
        <v>33.534690433065421</v>
      </c>
      <c r="U443" s="67">
        <f t="shared" si="385"/>
        <v>1.5409720388561985</v>
      </c>
      <c r="V443" t="str">
        <f t="shared" si="373"/>
        <v>1-6,98328691326038i</v>
      </c>
      <c r="W443" s="67">
        <f t="shared" si="386"/>
        <v>7.0545230960649414</v>
      </c>
      <c r="X443" s="67">
        <f t="shared" si="387"/>
        <v>-1.4285642265178129</v>
      </c>
      <c r="Y443" t="str">
        <f t="shared" si="374"/>
        <v>-1,02385770250779+12,11715779107i</v>
      </c>
      <c r="Z443" s="67">
        <f t="shared" si="388"/>
        <v>12.160337064763993</v>
      </c>
      <c r="AA443" s="67">
        <f t="shared" si="389"/>
        <v>1.6550926146909151</v>
      </c>
      <c r="AB443" s="92" t="str">
        <f t="shared" si="390"/>
        <v>-0,221427670219897-0,00640995564896724i</v>
      </c>
      <c r="AC443" s="37">
        <f t="shared" si="391"/>
        <v>-13.091724305761328</v>
      </c>
      <c r="AD443" s="60">
        <f t="shared" si="392"/>
        <v>-178.34184739740979</v>
      </c>
      <c r="AE443" t="str">
        <f t="shared" si="393"/>
        <v>21,0353732052265</v>
      </c>
      <c r="AF443" t="str">
        <f t="shared" si="375"/>
        <v>1+603,355989305697i</v>
      </c>
      <c r="AG443">
        <f t="shared" si="394"/>
        <v>603.35681800329098</v>
      </c>
      <c r="AH443">
        <f t="shared" si="395"/>
        <v>1.5691389319864055</v>
      </c>
      <c r="AI443" t="str">
        <f t="shared" si="376"/>
        <v>1+33,5197771836498i</v>
      </c>
      <c r="AJ443">
        <f t="shared" si="396"/>
        <v>33.534690433065421</v>
      </c>
      <c r="AK443">
        <f t="shared" si="397"/>
        <v>1.5409720388561985</v>
      </c>
      <c r="AL443" t="str">
        <f t="shared" si="377"/>
        <v>1-2,28073195532577i</v>
      </c>
      <c r="AM443">
        <f t="shared" si="398"/>
        <v>2.4903289445461034</v>
      </c>
      <c r="AN443">
        <f t="shared" si="399"/>
        <v>-1.1575839782544806</v>
      </c>
      <c r="AO443" s="58" t="str">
        <f t="shared" si="400"/>
        <v>1,093588816686-2,69838743247923i</v>
      </c>
      <c r="AP443">
        <f t="shared" si="401"/>
        <v>9.2825402968760731</v>
      </c>
      <c r="AQ443" s="60">
        <f t="shared" si="402"/>
        <v>-67.938520484302217</v>
      </c>
      <c r="AR443" t="str">
        <f t="shared" si="378"/>
        <v>-1,05811623246493</v>
      </c>
      <c r="AS443" t="str">
        <f t="shared" si="379"/>
        <v>1+33,0370923922053i</v>
      </c>
      <c r="AT443">
        <f t="shared" si="403"/>
        <v>33.052223430975253</v>
      </c>
      <c r="AU443">
        <f t="shared" si="404"/>
        <v>1.5405365584218786</v>
      </c>
      <c r="AV443" t="str">
        <f t="shared" si="380"/>
        <v>1+33,0370923922053i</v>
      </c>
      <c r="AW443">
        <f t="shared" si="405"/>
        <v>33.052223430975253</v>
      </c>
      <c r="AX443">
        <f t="shared" si="406"/>
        <v>1.5405365584218786</v>
      </c>
      <c r="AY443" t="str">
        <f t="shared" si="381"/>
        <v>1-0,000770483829277639i</v>
      </c>
      <c r="AZ443">
        <f t="shared" si="407"/>
        <v>1.0000002968226216</v>
      </c>
      <c r="BA443">
        <f t="shared" si="408"/>
        <v>-7.70483676812984E-4</v>
      </c>
      <c r="BB443" s="58" t="str">
        <f t="shared" si="409"/>
        <v>-0,000943917672647687+0,0319995568085074i</v>
      </c>
      <c r="BC443">
        <f t="shared" si="410"/>
        <v>-29.893343481583884</v>
      </c>
      <c r="BD443" s="60">
        <f t="shared" si="411"/>
        <v>91.689611553952275</v>
      </c>
      <c r="BE443" s="58" t="str">
        <f t="shared" si="412"/>
        <v>0,000414125231062905-0,00707953684175909i</v>
      </c>
      <c r="BF443" s="37">
        <f t="shared" si="413"/>
        <v>-42.985067787345201</v>
      </c>
      <c r="BG443" s="60">
        <f t="shared" si="414"/>
        <v>-86.652235843457547</v>
      </c>
      <c r="BH443" s="58" t="str">
        <f t="shared" si="415"/>
        <v>0,0853149441263018+0,0375414130498596i</v>
      </c>
      <c r="BI443" s="37">
        <f t="shared" si="416"/>
        <v>-20.610803184707805</v>
      </c>
      <c r="BJ443" s="60">
        <f t="shared" si="417"/>
        <v>23.751091069650045</v>
      </c>
      <c r="BK443">
        <f t="shared" si="418"/>
        <v>-42.985067787345201</v>
      </c>
      <c r="BL443" s="60">
        <f t="shared" si="419"/>
        <v>-86.652235843457547</v>
      </c>
      <c r="BN443">
        <f t="shared" si="420"/>
        <v>0</v>
      </c>
      <c r="BO443">
        <f t="shared" si="421"/>
        <v>0</v>
      </c>
    </row>
    <row r="444" spans="13:67" x14ac:dyDescent="0.25">
      <c r="M444" s="66">
        <v>26</v>
      </c>
      <c r="N444" s="36">
        <f t="shared" si="422"/>
        <v>181970.08586099857</v>
      </c>
      <c r="O444" s="91" t="str">
        <f t="shared" si="370"/>
        <v>13,7404580152672</v>
      </c>
      <c r="P444" s="67" t="str">
        <f t="shared" si="371"/>
        <v>1+1234,81991141427i</v>
      </c>
      <c r="Q444" s="67">
        <f t="shared" si="382"/>
        <v>1234.8203163315488</v>
      </c>
      <c r="R444" s="67">
        <f t="shared" si="383"/>
        <v>1.5699864922820697</v>
      </c>
      <c r="S444" s="67" t="str">
        <f t="shared" si="372"/>
        <v>1+34,3005530948409i</v>
      </c>
      <c r="T444" s="67">
        <f t="shared" si="384"/>
        <v>34.315127023107458</v>
      </c>
      <c r="U444" s="67">
        <f t="shared" si="385"/>
        <v>1.5416505336610986</v>
      </c>
      <c r="V444" t="str">
        <f t="shared" si="373"/>
        <v>1-7,14594856142519i</v>
      </c>
      <c r="W444" s="67">
        <f t="shared" si="386"/>
        <v>7.2155790372315058</v>
      </c>
      <c r="X444" s="67">
        <f t="shared" si="387"/>
        <v>-1.4317597871320076</v>
      </c>
      <c r="Y444" t="str">
        <f t="shared" si="374"/>
        <v>-1,11923917748858+12,399402653962i</v>
      </c>
      <c r="Z444" s="67">
        <f t="shared" si="388"/>
        <v>12.449814557313903</v>
      </c>
      <c r="AA444" s="67">
        <f t="shared" si="389"/>
        <v>1.6608179332415274</v>
      </c>
      <c r="AB444" s="92" t="str">
        <f t="shared" si="390"/>
        <v>-0,221257752467621-0,0045760357290019i</v>
      </c>
      <c r="AC444" s="37">
        <f t="shared" si="391"/>
        <v>-13.100172807164567</v>
      </c>
      <c r="AD444" s="60">
        <f t="shared" si="392"/>
        <v>-178.81518203103181</v>
      </c>
      <c r="AE444" t="str">
        <f t="shared" si="393"/>
        <v>21,0353732052265</v>
      </c>
      <c r="AF444" t="str">
        <f t="shared" si="375"/>
        <v>1+617,409955707137i</v>
      </c>
      <c r="AG444">
        <f t="shared" si="394"/>
        <v>617.41076554129575</v>
      </c>
      <c r="AH444">
        <f t="shared" si="395"/>
        <v>1.5691766588314717</v>
      </c>
      <c r="AI444" t="str">
        <f t="shared" si="376"/>
        <v>1+34,3005530948409i</v>
      </c>
      <c r="AJ444">
        <f t="shared" si="396"/>
        <v>34.315127023107458</v>
      </c>
      <c r="AK444">
        <f t="shared" si="397"/>
        <v>1.5416505336610986</v>
      </c>
      <c r="AL444" t="str">
        <f t="shared" si="377"/>
        <v>1-2,33385702715563i</v>
      </c>
      <c r="AM444">
        <f t="shared" si="398"/>
        <v>2.5390723942423761</v>
      </c>
      <c r="AN444">
        <f t="shared" si="399"/>
        <v>-1.1659857879385371</v>
      </c>
      <c r="AO444" s="58" t="str">
        <f t="shared" si="400"/>
        <v>1,09358635121623-2,75971874453674i</v>
      </c>
      <c r="AP444">
        <f t="shared" si="401"/>
        <v>9.4507343657570271</v>
      </c>
      <c r="AQ444" s="60">
        <f t="shared" si="402"/>
        <v>-68.383195419725254</v>
      </c>
      <c r="AR444" t="str">
        <f t="shared" si="378"/>
        <v>-1,05811623246493</v>
      </c>
      <c r="AS444" t="str">
        <f t="shared" si="379"/>
        <v>1+33,8066251302752i</v>
      </c>
      <c r="AT444">
        <f t="shared" si="403"/>
        <v>33.821411896887966</v>
      </c>
      <c r="AU444">
        <f t="shared" si="404"/>
        <v>1.5412249486892147</v>
      </c>
      <c r="AV444" t="str">
        <f t="shared" si="380"/>
        <v>1+33,8066251302752i</v>
      </c>
      <c r="AW444">
        <f t="shared" si="405"/>
        <v>33.821411896887966</v>
      </c>
      <c r="AX444">
        <f t="shared" si="406"/>
        <v>1.5412249486892147</v>
      </c>
      <c r="AY444" t="str">
        <f t="shared" si="381"/>
        <v>1-0,000752945476114677i</v>
      </c>
      <c r="AZ444">
        <f t="shared" si="407"/>
        <v>1.000000283463405</v>
      </c>
      <c r="BA444">
        <f t="shared" si="408"/>
        <v>-7.5294533382637961E-4</v>
      </c>
      <c r="BB444" s="58" t="str">
        <f t="shared" si="409"/>
        <v>-0,000901471518578375+0,031272413524637i</v>
      </c>
      <c r="BC444">
        <f t="shared" si="410"/>
        <v>-30.093164670588482</v>
      </c>
      <c r="BD444" s="60">
        <f t="shared" si="411"/>
        <v>91.65117457000882</v>
      </c>
      <c r="BE444" s="58" t="str">
        <f t="shared" si="412"/>
        <v>0,000342561243735086-0,00691513876482152i</v>
      </c>
      <c r="BF444" s="37">
        <f t="shared" si="413"/>
        <v>-43.193337477753047</v>
      </c>
      <c r="BG444" s="60">
        <f t="shared" si="414"/>
        <v>-87.164007461022976</v>
      </c>
      <c r="BH444" s="58" t="str">
        <f t="shared" si="415"/>
        <v>0,0853172288421175+0,0366868924476196i</v>
      </c>
      <c r="BI444" s="37">
        <f t="shared" si="416"/>
        <v>-20.642430304831457</v>
      </c>
      <c r="BJ444" s="60">
        <f t="shared" si="417"/>
        <v>23.267979150283573</v>
      </c>
      <c r="BK444">
        <f t="shared" si="418"/>
        <v>-43.193337477753047</v>
      </c>
      <c r="BL444" s="60">
        <f t="shared" si="419"/>
        <v>-87.164007461022976</v>
      </c>
      <c r="BN444">
        <f t="shared" si="420"/>
        <v>0</v>
      </c>
      <c r="BO444">
        <f t="shared" si="421"/>
        <v>0</v>
      </c>
    </row>
    <row r="445" spans="13:67" x14ac:dyDescent="0.25">
      <c r="M445" s="66">
        <v>27</v>
      </c>
      <c r="N445" s="36">
        <f t="shared" si="422"/>
        <v>186208.71366628664</v>
      </c>
      <c r="O445" s="91" t="str">
        <f t="shared" si="370"/>
        <v>13,7404580152672</v>
      </c>
      <c r="P445" s="67" t="str">
        <f t="shared" si="371"/>
        <v>1+1263,58256207897i</v>
      </c>
      <c r="Q445" s="67">
        <f t="shared" si="382"/>
        <v>1263.582957779209</v>
      </c>
      <c r="R445" s="67">
        <f t="shared" si="383"/>
        <v>1.5700049263583606</v>
      </c>
      <c r="S445" s="67" t="str">
        <f t="shared" si="372"/>
        <v>1+35,0995156133046i</v>
      </c>
      <c r="T445" s="67">
        <f t="shared" si="384"/>
        <v>35.113757934584747</v>
      </c>
      <c r="U445" s="67">
        <f t="shared" si="385"/>
        <v>1.54231360997714</v>
      </c>
      <c r="V445" t="str">
        <f t="shared" si="373"/>
        <v>1-7,31239908610512i</v>
      </c>
      <c r="W445" s="67">
        <f t="shared" si="386"/>
        <v>7.3804593620228669</v>
      </c>
      <c r="X445" s="67">
        <f t="shared" si="387"/>
        <v>-1.4348853719889836</v>
      </c>
      <c r="Y445" t="str">
        <f t="shared" si="374"/>
        <v>-1,21911584289619+12,6882218442667i</v>
      </c>
      <c r="Z445" s="67">
        <f t="shared" si="388"/>
        <v>12.746655130179334</v>
      </c>
      <c r="AA445" s="67">
        <f t="shared" si="389"/>
        <v>1.6665847627101305</v>
      </c>
      <c r="AB445" s="92" t="str">
        <f t="shared" si="390"/>
        <v>-0,221069261417292-0,00274829832799373i</v>
      </c>
      <c r="AC445" s="37">
        <f t="shared" si="391"/>
        <v>-13.108761640901561</v>
      </c>
      <c r="AD445" s="60">
        <f t="shared" si="392"/>
        <v>-179.28774456193557</v>
      </c>
      <c r="AE445" t="str">
        <f t="shared" si="393"/>
        <v>21,0353732052265</v>
      </c>
      <c r="AF445" t="str">
        <f t="shared" si="375"/>
        <v>1+631,791281039483i</v>
      </c>
      <c r="AG445">
        <f t="shared" si="394"/>
        <v>631.79207243958922</v>
      </c>
      <c r="AH445">
        <f t="shared" si="395"/>
        <v>1.5692135269131549</v>
      </c>
      <c r="AI445" t="str">
        <f t="shared" si="376"/>
        <v>1+35,0995156133046i</v>
      </c>
      <c r="AJ445">
        <f t="shared" si="396"/>
        <v>35.113757934584747</v>
      </c>
      <c r="AK445">
        <f t="shared" si="397"/>
        <v>1.54231360997714</v>
      </c>
      <c r="AL445" t="str">
        <f t="shared" si="377"/>
        <v>1-2,38821954087354i</v>
      </c>
      <c r="AM445">
        <f t="shared" si="398"/>
        <v>2.5891296945904858</v>
      </c>
      <c r="AN445">
        <f t="shared" si="399"/>
        <v>-1.1742552182320907</v>
      </c>
      <c r="AO445" s="58" t="str">
        <f t="shared" si="400"/>
        <v>1,09358399671032-2,82251329564225i</v>
      </c>
      <c r="AP445">
        <f t="shared" si="401"/>
        <v>9.6201433185856349</v>
      </c>
      <c r="AQ445" s="60">
        <f t="shared" si="402"/>
        <v>-68.821119785598341</v>
      </c>
      <c r="AR445" t="str">
        <f t="shared" si="378"/>
        <v>-1,05811623246493</v>
      </c>
      <c r="AS445" t="str">
        <f t="shared" si="379"/>
        <v>1+34,594082588473i</v>
      </c>
      <c r="AT445">
        <f t="shared" si="403"/>
        <v>34.608532909357642</v>
      </c>
      <c r="AU445">
        <f t="shared" si="404"/>
        <v>1.5418976963717168</v>
      </c>
      <c r="AV445" t="str">
        <f t="shared" si="380"/>
        <v>1+34,594082588473i</v>
      </c>
      <c r="AW445">
        <f t="shared" si="405"/>
        <v>34.608532909357642</v>
      </c>
      <c r="AX445">
        <f t="shared" si="406"/>
        <v>1.5418976963717168</v>
      </c>
      <c r="AY445" t="str">
        <f t="shared" si="381"/>
        <v>1-0,000735806344609557i</v>
      </c>
      <c r="AZ445">
        <f t="shared" si="407"/>
        <v>1.0000002707054516</v>
      </c>
      <c r="BA445">
        <f t="shared" si="408"/>
        <v>-7.3580621181838952E-4</v>
      </c>
      <c r="BB445" s="58" t="str">
        <f t="shared" si="409"/>
        <v>-0,000860932491002047+0,0305617383340067i</v>
      </c>
      <c r="BC445">
        <f t="shared" si="410"/>
        <v>-30.292993900531865</v>
      </c>
      <c r="BD445" s="60">
        <f t="shared" si="411"/>
        <v>91.613610966479854</v>
      </c>
      <c r="BE445" s="58" t="str">
        <f t="shared" si="412"/>
        <v>0,000274318484279904-0,00675389482180186i</v>
      </c>
      <c r="BF445" s="37">
        <f t="shared" si="413"/>
        <v>-43.401755541433431</v>
      </c>
      <c r="BG445" s="60">
        <f t="shared" si="414"/>
        <v>-87.6741335954557</v>
      </c>
      <c r="BH445" s="58" t="str">
        <f t="shared" si="415"/>
        <v>0,0853194107912656+0,0358518213562217i</v>
      </c>
      <c r="BI445" s="37">
        <f t="shared" si="416"/>
        <v>-20.672850581946228</v>
      </c>
      <c r="BJ445" s="60">
        <f t="shared" si="417"/>
        <v>22.792491180881502</v>
      </c>
      <c r="BK445">
        <f t="shared" si="418"/>
        <v>-43.401755541433431</v>
      </c>
      <c r="BL445" s="60">
        <f t="shared" si="419"/>
        <v>-87.6741335954557</v>
      </c>
      <c r="BN445">
        <f t="shared" si="420"/>
        <v>0</v>
      </c>
      <c r="BO445">
        <f t="shared" si="421"/>
        <v>0</v>
      </c>
    </row>
    <row r="446" spans="13:67" x14ac:dyDescent="0.25">
      <c r="M446" s="66">
        <v>28</v>
      </c>
      <c r="N446" s="36">
        <f t="shared" si="422"/>
        <v>190546.07179632492</v>
      </c>
      <c r="O446" s="91" t="str">
        <f t="shared" si="370"/>
        <v>13,7404580152672</v>
      </c>
      <c r="P446" s="67" t="str">
        <f t="shared" si="371"/>
        <v>1+1293,01518094358i</v>
      </c>
      <c r="Q446" s="67">
        <f t="shared" si="382"/>
        <v>1293.0155676365846</v>
      </c>
      <c r="R446" s="67">
        <f t="shared" si="383"/>
        <v>1.5700229408243662</v>
      </c>
      <c r="S446" s="67" t="str">
        <f t="shared" si="372"/>
        <v>1+35,9170883595438i</v>
      </c>
      <c r="T446" s="67">
        <f t="shared" si="384"/>
        <v>35.931006613053249</v>
      </c>
      <c r="U446" s="67">
        <f t="shared" si="385"/>
        <v>1.5429616170425484</v>
      </c>
      <c r="V446" t="str">
        <f t="shared" si="373"/>
        <v>1-7,48272674157163i</v>
      </c>
      <c r="W446" s="67">
        <f t="shared" si="386"/>
        <v>7.5492515846957424</v>
      </c>
      <c r="X446" s="67">
        <f t="shared" si="387"/>
        <v>-1.4379423939090823</v>
      </c>
      <c r="Y446" t="str">
        <f t="shared" si="374"/>
        <v>-1,32369955052868+12,9837684977418i</v>
      </c>
      <c r="Z446" s="67">
        <f t="shared" si="388"/>
        <v>13.051069875800303</v>
      </c>
      <c r="AA446" s="67">
        <f t="shared" si="389"/>
        <v>1.672395629025915</v>
      </c>
      <c r="AB446" s="92" t="str">
        <f t="shared" si="390"/>
        <v>-0,220861900822286-0,000926147155105994i</v>
      </c>
      <c r="AC446" s="37">
        <f t="shared" si="391"/>
        <v>-13.117507523177455</v>
      </c>
      <c r="AD446" s="60">
        <f t="shared" si="392"/>
        <v>-179.75974121397513</v>
      </c>
      <c r="AE446" t="str">
        <f t="shared" si="393"/>
        <v>21,0353732052265</v>
      </c>
      <c r="AF446" t="str">
        <f t="shared" si="375"/>
        <v>1+646,507590471789i</v>
      </c>
      <c r="AG446">
        <f t="shared" si="394"/>
        <v>646.50836385745106</v>
      </c>
      <c r="AH446">
        <f t="shared" si="395"/>
        <v>1.5692495557789989</v>
      </c>
      <c r="AI446" t="str">
        <f t="shared" si="376"/>
        <v>1+35,9170883595438i</v>
      </c>
      <c r="AJ446">
        <f t="shared" si="396"/>
        <v>35.931006613053249</v>
      </c>
      <c r="AK446">
        <f t="shared" si="397"/>
        <v>1.5429616170425484</v>
      </c>
      <c r="AL446" t="str">
        <f t="shared" si="377"/>
        <v>1-2,44384832020388i</v>
      </c>
      <c r="AM446">
        <f t="shared" si="398"/>
        <v>2.6405292295604923</v>
      </c>
      <c r="AN446">
        <f t="shared" si="399"/>
        <v>-1.1823921287059973</v>
      </c>
      <c r="AO446" s="58" t="str">
        <f t="shared" si="400"/>
        <v>1,09358174817411-2,88680438032199i</v>
      </c>
      <c r="AP446">
        <f t="shared" si="401"/>
        <v>9.7907287478905953</v>
      </c>
      <c r="AQ446" s="60">
        <f t="shared" si="402"/>
        <v>-69.252266646039914</v>
      </c>
      <c r="AR446" t="str">
        <f t="shared" si="378"/>
        <v>-1,05811623246493</v>
      </c>
      <c r="AS446" t="str">
        <f t="shared" si="379"/>
        <v>1+35,3998822871664i</v>
      </c>
      <c r="AT446">
        <f t="shared" si="403"/>
        <v>35.414003811278349</v>
      </c>
      <c r="AU446">
        <f t="shared" si="404"/>
        <v>1.5425551557318893</v>
      </c>
      <c r="AV446" t="str">
        <f t="shared" si="380"/>
        <v>1+35,3998822871664i</v>
      </c>
      <c r="AW446">
        <f t="shared" si="405"/>
        <v>35.414003811278349</v>
      </c>
      <c r="AX446">
        <f t="shared" si="406"/>
        <v>1.5425551557318893</v>
      </c>
      <c r="AY446" t="str">
        <f t="shared" si="381"/>
        <v>1-0,000719057347367891i</v>
      </c>
      <c r="AZ446">
        <f t="shared" si="407"/>
        <v>1.0000002585217009</v>
      </c>
      <c r="BA446">
        <f t="shared" si="408"/>
        <v>-7.1905722343996103E-4</v>
      </c>
      <c r="BB446" s="58" t="str">
        <f t="shared" si="409"/>
        <v>-0,000822215042031835+0,0298671619539877i</v>
      </c>
      <c r="BC446">
        <f t="shared" si="410"/>
        <v>-30.492830810117244</v>
      </c>
      <c r="BD446" s="60">
        <f t="shared" si="411"/>
        <v>91.576900966285805</v>
      </c>
      <c r="BE446" s="58" t="str">
        <f t="shared" si="412"/>
        <v>0,000209257364142603-0,00659575666920272i</v>
      </c>
      <c r="BF446" s="37">
        <f t="shared" si="413"/>
        <v>-43.610338333294706</v>
      </c>
      <c r="BG446" s="60">
        <f t="shared" si="414"/>
        <v>-88.182840247689313</v>
      </c>
      <c r="BH446" s="58" t="str">
        <f t="shared" si="415"/>
        <v>0,0853214945935178+0,0350357571675453i</v>
      </c>
      <c r="BI446" s="37">
        <f t="shared" si="416"/>
        <v>-20.702102062226647</v>
      </c>
      <c r="BJ446" s="60">
        <f t="shared" si="417"/>
        <v>22.324634320245902</v>
      </c>
      <c r="BK446">
        <f t="shared" si="418"/>
        <v>-43.610338333294706</v>
      </c>
      <c r="BL446" s="60">
        <f t="shared" si="419"/>
        <v>-88.182840247689313</v>
      </c>
      <c r="BN446">
        <f t="shared" si="420"/>
        <v>0</v>
      </c>
      <c r="BO446">
        <f t="shared" si="421"/>
        <v>0</v>
      </c>
    </row>
    <row r="447" spans="13:67" x14ac:dyDescent="0.25">
      <c r="M447" s="66">
        <v>29</v>
      </c>
      <c r="N447" s="36">
        <f t="shared" si="422"/>
        <v>194984.45997580473</v>
      </c>
      <c r="O447" s="91" t="str">
        <f t="shared" si="370"/>
        <v>13,7404580152672</v>
      </c>
      <c r="P447" s="67" t="str">
        <f t="shared" si="371"/>
        <v>1+1323,13337357219i</v>
      </c>
      <c r="Q447" s="67">
        <f t="shared" si="382"/>
        <v>1323.1337514629897</v>
      </c>
      <c r="R447" s="67">
        <f t="shared" si="383"/>
        <v>1.5700405452315473</v>
      </c>
      <c r="S447" s="67" t="str">
        <f t="shared" si="372"/>
        <v>1+36,7537048214496i</v>
      </c>
      <c r="T447" s="67">
        <f t="shared" si="384"/>
        <v>36.767306375396174</v>
      </c>
      <c r="U447" s="67">
        <f t="shared" si="385"/>
        <v>1.5435948962611472</v>
      </c>
      <c r="V447" t="str">
        <f t="shared" si="373"/>
        <v>1-7,657021837802i</v>
      </c>
      <c r="W447" s="67">
        <f t="shared" si="386"/>
        <v>7.7220452876538292</v>
      </c>
      <c r="X447" s="67">
        <f t="shared" si="387"/>
        <v>-1.4409322450928459</v>
      </c>
      <c r="Y447" t="str">
        <f t="shared" si="374"/>
        <v>-1,43321213645158+13,2861993171347i</v>
      </c>
      <c r="Z447" s="67">
        <f t="shared" si="388"/>
        <v>13.363277641458424</v>
      </c>
      <c r="AA447" s="67">
        <f t="shared" si="389"/>
        <v>1.6782530525714501</v>
      </c>
      <c r="AB447" s="92" t="str">
        <f t="shared" si="390"/>
        <v>-0,220635345492837+0,000890995024561571i</v>
      </c>
      <c r="AC447" s="37">
        <f t="shared" si="391"/>
        <v>-13.126427434211758</v>
      </c>
      <c r="AD447" s="60">
        <f t="shared" si="392"/>
        <v>179.76862285209</v>
      </c>
      <c r="AE447" t="str">
        <f t="shared" si="393"/>
        <v>21,0353732052265</v>
      </c>
      <c r="AF447" t="str">
        <f t="shared" si="375"/>
        <v>1+661,566686786093i</v>
      </c>
      <c r="AG447">
        <f t="shared" si="394"/>
        <v>661.56744256736852</v>
      </c>
      <c r="AH447">
        <f t="shared" si="395"/>
        <v>1.5692847645316106</v>
      </c>
      <c r="AI447" t="str">
        <f t="shared" si="376"/>
        <v>1+36,7537048214496i</v>
      </c>
      <c r="AJ447">
        <f t="shared" si="396"/>
        <v>36.767306375396174</v>
      </c>
      <c r="AK447">
        <f t="shared" si="397"/>
        <v>1.5435948962611472</v>
      </c>
      <c r="AL447" t="str">
        <f t="shared" si="377"/>
        <v>1-2,5007728602617i</v>
      </c>
      <c r="AM447">
        <f t="shared" si="398"/>
        <v>2.6933000016005426</v>
      </c>
      <c r="AN447">
        <f t="shared" si="399"/>
        <v>-1.19039652269545</v>
      </c>
      <c r="AO447" s="58" t="str">
        <f t="shared" si="400"/>
        <v>1,09357960083822-2,95262608658233i</v>
      </c>
      <c r="AP447">
        <f t="shared" si="401"/>
        <v>9.9624528523532128</v>
      </c>
      <c r="AQ447" s="60">
        <f t="shared" si="402"/>
        <v>-69.676617725643013</v>
      </c>
      <c r="AR447" t="str">
        <f t="shared" si="378"/>
        <v>-1,05811623246493</v>
      </c>
      <c r="AS447" t="str">
        <f t="shared" si="379"/>
        <v>1+36,2244514720207i</v>
      </c>
      <c r="AT447">
        <f t="shared" si="403"/>
        <v>36.238251674836391</v>
      </c>
      <c r="AU447">
        <f t="shared" si="404"/>
        <v>1.5431976730885761</v>
      </c>
      <c r="AV447" t="str">
        <f t="shared" si="380"/>
        <v>1+36,2244514720207i</v>
      </c>
      <c r="AW447">
        <f t="shared" si="405"/>
        <v>36.238251674836391</v>
      </c>
      <c r="AX447">
        <f t="shared" si="406"/>
        <v>1.5431976730885761</v>
      </c>
      <c r="AY447" t="str">
        <f t="shared" si="381"/>
        <v>1-0,000702689603849659i</v>
      </c>
      <c r="AZ447">
        <f t="shared" si="407"/>
        <v>1.0000002468863092</v>
      </c>
      <c r="BA447">
        <f t="shared" si="408"/>
        <v>-7.0268948819338377E-4</v>
      </c>
      <c r="BB447" s="58" t="str">
        <f t="shared" si="409"/>
        <v>-0,000785237448867396+0,029188323136728i</v>
      </c>
      <c r="BC447">
        <f t="shared" si="410"/>
        <v>-30.692675054255417</v>
      </c>
      <c r="BD447" s="60">
        <f t="shared" si="411"/>
        <v>91.541025235633555</v>
      </c>
      <c r="BE447" s="58" t="str">
        <f t="shared" si="412"/>
        <v>0,000147244485134652-0,00644067540228859i</v>
      </c>
      <c r="BF447" s="37">
        <f t="shared" si="413"/>
        <v>-43.81910248846718</v>
      </c>
      <c r="BG447" s="60">
        <f t="shared" si="414"/>
        <v>-88.690351912276441</v>
      </c>
      <c r="BH447" s="58" t="str">
        <f t="shared" si="415"/>
        <v>0,0853234846612021+0,0342382673406872i</v>
      </c>
      <c r="BI447" s="37">
        <f t="shared" si="416"/>
        <v>-20.730222201902201</v>
      </c>
      <c r="BJ447" s="60">
        <f t="shared" si="417"/>
        <v>21.864407509990524</v>
      </c>
      <c r="BK447">
        <f t="shared" si="418"/>
        <v>-43.81910248846718</v>
      </c>
      <c r="BL447" s="60">
        <f t="shared" si="419"/>
        <v>-88.690351912276441</v>
      </c>
      <c r="BN447">
        <f t="shared" si="420"/>
        <v>0</v>
      </c>
      <c r="BO447">
        <f t="shared" si="421"/>
        <v>0</v>
      </c>
    </row>
    <row r="448" spans="13:67" x14ac:dyDescent="0.25">
      <c r="M448" s="66">
        <v>30</v>
      </c>
      <c r="N448" s="36">
        <f t="shared" si="422"/>
        <v>199526.23149688813</v>
      </c>
      <c r="O448" s="91" t="str">
        <f t="shared" si="370"/>
        <v>13,7404580152672</v>
      </c>
      <c r="P448" s="67" t="str">
        <f t="shared" si="371"/>
        <v>1+1353,95310902921i</v>
      </c>
      <c r="Q448" s="67">
        <f t="shared" si="382"/>
        <v>1353.9534783181671</v>
      </c>
      <c r="R448" s="67">
        <f t="shared" si="383"/>
        <v>1.5700577489139502</v>
      </c>
      <c r="S448" s="67" t="str">
        <f t="shared" si="372"/>
        <v>1+37,6098085841448i</v>
      </c>
      <c r="T448" s="67">
        <f t="shared" si="384"/>
        <v>37.623100639580628</v>
      </c>
      <c r="U448" s="67">
        <f t="shared" si="385"/>
        <v>1.5442137813730221</v>
      </c>
      <c r="V448" t="str">
        <f t="shared" si="373"/>
        <v>1-7,8353767883635i</v>
      </c>
      <c r="W448" s="67">
        <f t="shared" si="386"/>
        <v>7.8989321693267831</v>
      </c>
      <c r="X448" s="67">
        <f t="shared" si="387"/>
        <v>-1.4438562968704154</v>
      </c>
      <c r="Y448" t="str">
        <f t="shared" si="374"/>
        <v>-1,54788589154238+13,5956746552693i</v>
      </c>
      <c r="Z448" s="67">
        <f t="shared" si="388"/>
        <v>13.683505401218211</v>
      </c>
      <c r="AA448" s="67">
        <f t="shared" si="389"/>
        <v>1.6841595472459625</v>
      </c>
      <c r="AB448" s="92" t="str">
        <f t="shared" si="390"/>
        <v>-0,220389241423019+0,00270368528198407i</v>
      </c>
      <c r="AC448" s="37">
        <f t="shared" si="391"/>
        <v>-13.135538642160164</v>
      </c>
      <c r="AD448" s="60">
        <f t="shared" si="392"/>
        <v>179.29714361611164</v>
      </c>
      <c r="AE448" t="str">
        <f t="shared" si="393"/>
        <v>21,0353732052265</v>
      </c>
      <c r="AF448" t="str">
        <f t="shared" si="375"/>
        <v>1+676,976554514607i</v>
      </c>
      <c r="AG448">
        <f t="shared" si="394"/>
        <v>676.97729309221938</v>
      </c>
      <c r="AH448">
        <f t="shared" si="395"/>
        <v>1.5693191718387873</v>
      </c>
      <c r="AI448" t="str">
        <f t="shared" si="376"/>
        <v>1+37,6098085841448i</v>
      </c>
      <c r="AJ448">
        <f t="shared" si="396"/>
        <v>37.623100639580628</v>
      </c>
      <c r="AK448">
        <f t="shared" si="397"/>
        <v>1.5442137813730221</v>
      </c>
      <c r="AL448" t="str">
        <f t="shared" si="377"/>
        <v>1-2,5590233431917i</v>
      </c>
      <c r="AM448">
        <f t="shared" si="398"/>
        <v>2.747471650627177</v>
      </c>
      <c r="AN448">
        <f t="shared" si="399"/>
        <v>-1.1982685404412636</v>
      </c>
      <c r="AO448" s="58" t="str">
        <f t="shared" si="400"/>
        <v>1,09357755014794-3,0200133139842i</v>
      </c>
      <c r="AP448">
        <f t="shared" si="401"/>
        <v>10.135278475755145</v>
      </c>
      <c r="AQ448" s="60">
        <f t="shared" si="402"/>
        <v>-70.094163007301972</v>
      </c>
      <c r="AR448" t="str">
        <f t="shared" si="378"/>
        <v>-1,05811623246493</v>
      </c>
      <c r="AS448" t="str">
        <f t="shared" si="379"/>
        <v>1+37,0682273405331i</v>
      </c>
      <c r="AT448">
        <f t="shared" si="403"/>
        <v>37.08171352795668</v>
      </c>
      <c r="AU448">
        <f t="shared" si="404"/>
        <v>1.5438255869897748</v>
      </c>
      <c r="AV448" t="str">
        <f t="shared" si="380"/>
        <v>1+37,0682273405331i</v>
      </c>
      <c r="AW448">
        <f t="shared" si="405"/>
        <v>37.08171352795668</v>
      </c>
      <c r="AX448">
        <f t="shared" si="406"/>
        <v>1.5438255869897748</v>
      </c>
      <c r="AY448" t="str">
        <f t="shared" si="381"/>
        <v>1-0,000686694435660579i</v>
      </c>
      <c r="AZ448">
        <f t="shared" si="407"/>
        <v>1.0000002357745961</v>
      </c>
      <c r="BA448">
        <f t="shared" si="408"/>
        <v>-6.8669432772386124E-4</v>
      </c>
      <c r="BB448" s="58" t="str">
        <f t="shared" si="409"/>
        <v>-0,00074992164384925+0,0285248685109061i</v>
      </c>
      <c r="BC448">
        <f t="shared" si="410"/>
        <v>-30.892526303340674</v>
      </c>
      <c r="BD448" s="60">
        <f t="shared" si="411"/>
        <v>91.505964874384816</v>
      </c>
      <c r="BE448" s="58" t="str">
        <f t="shared" si="412"/>
        <v>0,0000881523950511719-0,00628860168492107i</v>
      </c>
      <c r="BF448" s="37">
        <f t="shared" si="413"/>
        <v>-44.028064945500844</v>
      </c>
      <c r="BG448" s="60">
        <f t="shared" si="414"/>
        <v>-89.196891509503558</v>
      </c>
      <c r="BH448" s="58" t="str">
        <f t="shared" si="415"/>
        <v>0,0853253852085015+0,0334589291733185i</v>
      </c>
      <c r="BI448" s="37">
        <f t="shared" si="416"/>
        <v>-20.757247827585527</v>
      </c>
      <c r="BJ448" s="60">
        <f t="shared" si="417"/>
        <v>21.411801867082879</v>
      </c>
      <c r="BK448">
        <f t="shared" si="418"/>
        <v>-44.028064945500844</v>
      </c>
      <c r="BL448" s="60">
        <f t="shared" si="419"/>
        <v>-89.196891509503558</v>
      </c>
      <c r="BN448">
        <f t="shared" si="420"/>
        <v>0</v>
      </c>
      <c r="BO448">
        <f t="shared" si="421"/>
        <v>0</v>
      </c>
    </row>
    <row r="449" spans="13:67" x14ac:dyDescent="0.25">
      <c r="M449" s="66">
        <v>31</v>
      </c>
      <c r="N449" s="36">
        <f t="shared" si="422"/>
        <v>204173.79446695308</v>
      </c>
      <c r="O449" s="91" t="str">
        <f t="shared" si="370"/>
        <v>13,7404580152672</v>
      </c>
      <c r="P449" s="67" t="str">
        <f t="shared" si="371"/>
        <v>1+1385,49072834633i</v>
      </c>
      <c r="Q449" s="67">
        <f t="shared" si="382"/>
        <v>1385.4910892292462</v>
      </c>
      <c r="R449" s="67">
        <f t="shared" si="383"/>
        <v>1.5700745609931543</v>
      </c>
      <c r="S449" s="67" t="str">
        <f t="shared" si="372"/>
        <v>1+38,4858535651758i</v>
      </c>
      <c r="T449" s="67">
        <f t="shared" si="384"/>
        <v>38.498843159764618</v>
      </c>
      <c r="U449" s="67">
        <f t="shared" si="385"/>
        <v>1.5448185986218088</v>
      </c>
      <c r="V449" t="str">
        <f t="shared" si="373"/>
        <v>1-8,01788615941163i</v>
      </c>
      <c r="W449" s="67">
        <f t="shared" si="386"/>
        <v>8.0800060931464994</v>
      </c>
      <c r="X449" s="67">
        <f t="shared" si="387"/>
        <v>-1.4467158994994147</v>
      </c>
      <c r="Y449" t="str">
        <f t="shared" si="374"/>
        <v>-1,66796405421013+13,9123586000661i</v>
      </c>
      <c r="Z449" s="67">
        <f t="shared" si="388"/>
        <v>14.011988649116521</v>
      </c>
      <c r="AA449" s="67">
        <f t="shared" si="389"/>
        <v>1.6901176194205529</v>
      </c>
      <c r="AB449" s="92" t="str">
        <f t="shared" si="390"/>
        <v>-0,220123205935366+0,00451245936759141i</v>
      </c>
      <c r="AC449" s="37">
        <f t="shared" si="391"/>
        <v>-13.144858727080972</v>
      </c>
      <c r="AD449" s="60">
        <f t="shared" si="392"/>
        <v>178.82561827929609</v>
      </c>
      <c r="AE449" t="str">
        <f t="shared" si="393"/>
        <v>21,0353732052265</v>
      </c>
      <c r="AF449" t="str">
        <f t="shared" si="375"/>
        <v>1+692,745364173165i</v>
      </c>
      <c r="AG449">
        <f t="shared" si="394"/>
        <v>692.74608593871596</v>
      </c>
      <c r="AH449">
        <f t="shared" si="395"/>
        <v>1.569352795943413</v>
      </c>
      <c r="AI449" t="str">
        <f t="shared" si="376"/>
        <v>1+38,4858535651758i</v>
      </c>
      <c r="AJ449">
        <f t="shared" si="396"/>
        <v>38.498843159764618</v>
      </c>
      <c r="AK449">
        <f t="shared" si="397"/>
        <v>1.5448185986218088</v>
      </c>
      <c r="AL449" t="str">
        <f t="shared" si="377"/>
        <v>1-2,61863065417093i</v>
      </c>
      <c r="AM449">
        <f t="shared" si="398"/>
        <v>2.8030744733174098</v>
      </c>
      <c r="AN449">
        <f t="shared" si="399"/>
        <v>-1.2060084522119601</v>
      </c>
      <c r="AO449" s="58" t="str">
        <f t="shared" si="400"/>
        <v>1,09357559175353-3,08900179214698i</v>
      </c>
      <c r="AP449">
        <f t="shared" si="401"/>
        <v>10.30916914150918</v>
      </c>
      <c r="AQ449" s="60">
        <f t="shared" si="402"/>
        <v>-70.504900329119266</v>
      </c>
      <c r="AR449" t="str">
        <f t="shared" si="378"/>
        <v>-1,05811623246493</v>
      </c>
      <c r="AS449" t="str">
        <f t="shared" si="379"/>
        <v>1+37,9316572738373i</v>
      </c>
      <c r="AT449">
        <f t="shared" si="403"/>
        <v>37.944836586021218</v>
      </c>
      <c r="AU449">
        <f t="shared" si="404"/>
        <v>1.5444392283820423</v>
      </c>
      <c r="AV449" t="str">
        <f t="shared" si="380"/>
        <v>1+37,9316572738373i</v>
      </c>
      <c r="AW449">
        <f t="shared" si="405"/>
        <v>37.944836586021218</v>
      </c>
      <c r="AX449">
        <f t="shared" si="406"/>
        <v>1.5444392283820423</v>
      </c>
      <c r="AY449" t="str">
        <f t="shared" si="381"/>
        <v>1-0,000671063361950765i</v>
      </c>
      <c r="AZ449">
        <f t="shared" si="407"/>
        <v>1.0000002251629925</v>
      </c>
      <c r="BA449">
        <f t="shared" si="408"/>
        <v>-6.7106326121835766E-4</v>
      </c>
      <c r="BB449" s="58" t="str">
        <f t="shared" si="409"/>
        <v>-0,000716193051968349+0,0278764524254595i</v>
      </c>
      <c r="BC449">
        <f t="shared" si="410"/>
        <v>-31.092384242557497</v>
      </c>
      <c r="BD449" s="60">
        <f t="shared" si="411"/>
        <v>91.47170140661342</v>
      </c>
      <c r="BE449" s="58" t="str">
        <f t="shared" si="412"/>
        <v>0,0000318593517854261-0,00613948587004321i</v>
      </c>
      <c r="BF449" s="37">
        <f t="shared" si="413"/>
        <v>-44.237242969638473</v>
      </c>
      <c r="BG449" s="60">
        <f t="shared" si="414"/>
        <v>-89.702680314090514</v>
      </c>
      <c r="BH449" s="58" t="str">
        <f t="shared" si="415"/>
        <v>0,0853272002603284+0,0326973295782144i</v>
      </c>
      <c r="BI449" s="37">
        <f t="shared" si="416"/>
        <v>-20.783215101048317</v>
      </c>
      <c r="BJ449" s="60">
        <f t="shared" si="417"/>
        <v>20.966801077494107</v>
      </c>
      <c r="BK449">
        <f t="shared" si="418"/>
        <v>-44.237242969638473</v>
      </c>
      <c r="BL449" s="60">
        <f t="shared" si="419"/>
        <v>-89.702680314090514</v>
      </c>
      <c r="BN449">
        <f t="shared" si="420"/>
        <v>0</v>
      </c>
      <c r="BO449">
        <f t="shared" si="421"/>
        <v>0</v>
      </c>
    </row>
    <row r="450" spans="13:67" x14ac:dyDescent="0.25">
      <c r="M450" s="66">
        <v>32</v>
      </c>
      <c r="N450" s="36">
        <f t="shared" si="422"/>
        <v>208929.61308540447</v>
      </c>
      <c r="O450" s="91" t="str">
        <f t="shared" si="370"/>
        <v>13,7404580152672</v>
      </c>
      <c r="P450" s="67" t="str">
        <f t="shared" si="371"/>
        <v>1+1417,76295318676i</v>
      </c>
      <c r="Q450" s="67">
        <f t="shared" si="382"/>
        <v>1417.7633058549804</v>
      </c>
      <c r="R450" s="67">
        <f t="shared" si="383"/>
        <v>1.5700909903831086</v>
      </c>
      <c r="S450" s="67" t="str">
        <f t="shared" si="372"/>
        <v>1+39,3823042551879i</v>
      </c>
      <c r="T450" s="67">
        <f t="shared" si="384"/>
        <v>39.394998266889047</v>
      </c>
      <c r="U450" s="67">
        <f t="shared" si="385"/>
        <v>1.5454096669186486</v>
      </c>
      <c r="V450" t="str">
        <f t="shared" si="373"/>
        <v>1-8,20464671983081i</v>
      </c>
      <c r="W450" s="67">
        <f t="shared" si="386"/>
        <v>8.2653631376504251</v>
      </c>
      <c r="X450" s="67">
        <f t="shared" si="387"/>
        <v>-1.4495123820079419</v>
      </c>
      <c r="Y450" t="str">
        <f t="shared" si="374"/>
        <v>-1,79370132633708+14,2364190615446i</v>
      </c>
      <c r="Z450" s="67">
        <f t="shared" si="388"/>
        <v>14.348971814872796</v>
      </c>
      <c r="AA450" s="67">
        <f t="shared" si="389"/>
        <v>1.6961297667785933</v>
      </c>
      <c r="AB450" s="92" t="str">
        <f t="shared" si="390"/>
        <v>-0,21983682784817+0,00631783050362906i</v>
      </c>
      <c r="AC450" s="37">
        <f t="shared" si="391"/>
        <v>-13.154405604911377</v>
      </c>
      <c r="AD450" s="60">
        <f t="shared" si="392"/>
        <v>178.35384534875743</v>
      </c>
      <c r="AE450" t="str">
        <f t="shared" si="393"/>
        <v>21,0353732052265</v>
      </c>
      <c r="AF450" t="str">
        <f t="shared" si="375"/>
        <v>1+708,881476593383i</v>
      </c>
      <c r="AG450">
        <f t="shared" si="394"/>
        <v>708.88218192956083</v>
      </c>
      <c r="AH450">
        <f t="shared" si="395"/>
        <v>1.5693856546731286</v>
      </c>
      <c r="AI450" t="str">
        <f t="shared" si="376"/>
        <v>1+39,3823042551879i</v>
      </c>
      <c r="AJ450">
        <f t="shared" si="396"/>
        <v>39.394998266889047</v>
      </c>
      <c r="AK450">
        <f t="shared" si="397"/>
        <v>1.5454096669186486</v>
      </c>
      <c r="AL450" t="str">
        <f t="shared" si="377"/>
        <v>1-2,67962639778469i</v>
      </c>
      <c r="AM450">
        <f t="shared" si="398"/>
        <v>2.860139442702847</v>
      </c>
      <c r="AN450">
        <f t="shared" si="399"/>
        <v>-1.2136166514401736</v>
      </c>
      <c r="AO450" s="58" t="str">
        <f t="shared" si="400"/>
        <v>1,09357372150103-3,15962809969321i</v>
      </c>
      <c r="AP450">
        <f t="shared" si="401"/>
        <v>10.484089082939501</v>
      </c>
      <c r="AQ450" s="60">
        <f t="shared" si="402"/>
        <v>-70.908834982310566</v>
      </c>
      <c r="AR450" t="str">
        <f t="shared" si="378"/>
        <v>-1,05811623246493</v>
      </c>
      <c r="AS450" t="str">
        <f t="shared" si="379"/>
        <v>1+38,8151990739132i</v>
      </c>
      <c r="AT450">
        <f t="shared" si="403"/>
        <v>38.828078488994429</v>
      </c>
      <c r="AU450">
        <f t="shared" si="404"/>
        <v>1.5450389207765476</v>
      </c>
      <c r="AV450" t="str">
        <f t="shared" si="380"/>
        <v>1+38,8151990739132i</v>
      </c>
      <c r="AW450">
        <f t="shared" si="405"/>
        <v>38.828078488994429</v>
      </c>
      <c r="AX450">
        <f t="shared" si="406"/>
        <v>1.5450389207765476</v>
      </c>
      <c r="AY450" t="str">
        <f t="shared" si="381"/>
        <v>1-0,000655788094918026i</v>
      </c>
      <c r="AZ450">
        <f t="shared" si="407"/>
        <v>1.0000002150289895</v>
      </c>
      <c r="BA450">
        <f t="shared" si="408"/>
        <v>-6.5578800090907254E-4</v>
      </c>
      <c r="BB450" s="58" t="str">
        <f t="shared" si="409"/>
        <v>-0,000683980435511789+0,027242736795342i</v>
      </c>
      <c r="BC450">
        <f t="shared" si="410"/>
        <v>-31.292248571219154</v>
      </c>
      <c r="BD450" s="60">
        <f t="shared" si="411"/>
        <v>91.438216771348849</v>
      </c>
      <c r="BE450" s="58" t="str">
        <f t="shared" si="412"/>
        <v>-0,000021750904274828-0,00599327811144997i</v>
      </c>
      <c r="BF450" s="37">
        <f t="shared" si="413"/>
        <v>-44.446654176130522</v>
      </c>
      <c r="BG450" s="60">
        <f t="shared" si="414"/>
        <v>-90.20793787989372</v>
      </c>
      <c r="BH450" s="58" t="str">
        <f t="shared" si="415"/>
        <v>0,0853289336608122+0,0319530648648386i</v>
      </c>
      <c r="BI450" s="37">
        <f t="shared" si="416"/>
        <v>-20.808159488279657</v>
      </c>
      <c r="BJ450" s="60">
        <f t="shared" si="417"/>
        <v>20.529381789038279</v>
      </c>
      <c r="BK450">
        <f t="shared" si="418"/>
        <v>-44.446654176130522</v>
      </c>
      <c r="BL450" s="60">
        <f t="shared" si="419"/>
        <v>-90.20793787989372</v>
      </c>
      <c r="BN450">
        <f t="shared" si="420"/>
        <v>0</v>
      </c>
      <c r="BO450">
        <f t="shared" si="421"/>
        <v>0</v>
      </c>
    </row>
    <row r="451" spans="13:67" x14ac:dyDescent="0.25">
      <c r="M451" s="66">
        <v>33</v>
      </c>
      <c r="N451" s="36">
        <f t="shared" si="422"/>
        <v>213796.20895022334</v>
      </c>
      <c r="O451" s="91" t="str">
        <f t="shared" si="370"/>
        <v>13,7404580152672</v>
      </c>
      <c r="P451" s="67" t="str">
        <f t="shared" si="371"/>
        <v>1+1450,78689471128i</v>
      </c>
      <c r="Q451" s="67">
        <f t="shared" si="382"/>
        <v>1450.7872393517935</v>
      </c>
      <c r="R451" s="67">
        <f t="shared" si="383"/>
        <v>1.5701070457948574</v>
      </c>
      <c r="S451" s="67" t="str">
        <f t="shared" si="372"/>
        <v>1+40,2996359642022i</v>
      </c>
      <c r="T451" s="67">
        <f t="shared" si="384"/>
        <v>40.312041114873104</v>
      </c>
      <c r="U451" s="67">
        <f t="shared" si="385"/>
        <v>1.5459872980028564</v>
      </c>
      <c r="V451" t="str">
        <f t="shared" si="373"/>
        <v>1-8,39575749254213i</v>
      </c>
      <c r="W451" s="67">
        <f t="shared" si="386"/>
        <v>8.4551016477377328</v>
      </c>
      <c r="X451" s="67">
        <f t="shared" si="387"/>
        <v>-1.4522470520793926</v>
      </c>
      <c r="Y451" t="str">
        <f t="shared" si="374"/>
        <v>-1,92536441353521+14,5680278608507i</v>
      </c>
      <c r="Z451" s="67">
        <f t="shared" si="388"/>
        <v>14.694708703456152</v>
      </c>
      <c r="AA451" s="67">
        <f t="shared" si="389"/>
        <v>1.7021984770342797</v>
      </c>
      <c r="AB451" s="92" t="str">
        <f t="shared" si="390"/>
        <v>-0,219529667670781+0,0081202881233039i</v>
      </c>
      <c r="AC451" s="37">
        <f t="shared" si="391"/>
        <v>-13.164197551419027</v>
      </c>
      <c r="AD451" s="60">
        <f t="shared" si="392"/>
        <v>177.88162472647309</v>
      </c>
      <c r="AE451" t="str">
        <f t="shared" si="393"/>
        <v>21,0353732052265</v>
      </c>
      <c r="AF451" t="str">
        <f t="shared" si="375"/>
        <v>1+725,39344735564i</v>
      </c>
      <c r="AG451">
        <f t="shared" si="394"/>
        <v>725.39413663642165</v>
      </c>
      <c r="AH451">
        <f t="shared" si="395"/>
        <v>1.5694177654497836</v>
      </c>
      <c r="AI451" t="str">
        <f t="shared" si="376"/>
        <v>1+40,2996359642022i</v>
      </c>
      <c r="AJ451">
        <f t="shared" si="396"/>
        <v>40.312041114873104</v>
      </c>
      <c r="AK451">
        <f t="shared" si="397"/>
        <v>1.5459872980028564</v>
      </c>
      <c r="AL451" t="str">
        <f t="shared" si="377"/>
        <v>1-2,74204291478359i</v>
      </c>
      <c r="AM451">
        <f t="shared" si="398"/>
        <v>2.918698228065876</v>
      </c>
      <c r="AN451">
        <f t="shared" si="399"/>
        <v>-1.221093647903708</v>
      </c>
      <c r="AO451" s="58" t="str">
        <f t="shared" si="400"/>
        <v>1,09357193542343-3,23192968364296i</v>
      </c>
      <c r="AP451">
        <f t="shared" si="401"/>
        <v>10.660003269484237</v>
      </c>
      <c r="AQ451" s="60">
        <f t="shared" si="402"/>
        <v>-71.305979311843913</v>
      </c>
      <c r="AR451" t="str">
        <f t="shared" si="378"/>
        <v>-1,05811623246493</v>
      </c>
      <c r="AS451" t="str">
        <f t="shared" si="379"/>
        <v>1+39,7193212063177i</v>
      </c>
      <c r="AT451">
        <f t="shared" si="403"/>
        <v>39.731907544071419</v>
      </c>
      <c r="AU451">
        <f t="shared" si="404"/>
        <v>1.5456249804118036</v>
      </c>
      <c r="AV451" t="str">
        <f t="shared" si="380"/>
        <v>1+39,7193212063177i</v>
      </c>
      <c r="AW451">
        <f t="shared" si="405"/>
        <v>39.731907544071419</v>
      </c>
      <c r="AX451">
        <f t="shared" si="406"/>
        <v>1.5456249804118036</v>
      </c>
      <c r="AY451" t="str">
        <f t="shared" si="381"/>
        <v>1-0,000640860535413598i</v>
      </c>
      <c r="AZ451">
        <f t="shared" si="407"/>
        <v>1.0000002053510919</v>
      </c>
      <c r="BA451">
        <f t="shared" si="408"/>
        <v>-6.4086044767933689E-4</v>
      </c>
      <c r="BB451" s="58" t="str">
        <f t="shared" si="409"/>
        <v>-0,000653215745539369+0,0266233909493698i</v>
      </c>
      <c r="BC451">
        <f t="shared" si="410"/>
        <v>-31.492119002135162</v>
      </c>
      <c r="BD451" s="60">
        <f t="shared" si="411"/>
        <v>91.405493313504223</v>
      </c>
      <c r="BE451" s="58" t="str">
        <f t="shared" si="412"/>
        <v>-0,000072789369792665-0,00584992846744489i</v>
      </c>
      <c r="BF451" s="37">
        <f t="shared" si="413"/>
        <v>-44.656316553554191</v>
      </c>
      <c r="BG451" s="60">
        <f t="shared" si="414"/>
        <v>-90.712881960022685</v>
      </c>
      <c r="BH451" s="58" t="str">
        <f t="shared" si="415"/>
        <v>0,085330589081401+0,0312257405258686i</v>
      </c>
      <c r="BI451" s="37">
        <f t="shared" si="416"/>
        <v>-20.832115732650927</v>
      </c>
      <c r="BJ451" s="60">
        <f t="shared" si="417"/>
        <v>20.099514001660317</v>
      </c>
      <c r="BK451">
        <f t="shared" si="418"/>
        <v>-44.656316553554191</v>
      </c>
      <c r="BL451" s="60">
        <f t="shared" si="419"/>
        <v>-90.712881960022685</v>
      </c>
      <c r="BN451">
        <f t="shared" si="420"/>
        <v>0</v>
      </c>
      <c r="BO451">
        <f t="shared" si="421"/>
        <v>0</v>
      </c>
    </row>
    <row r="452" spans="13:67" x14ac:dyDescent="0.25">
      <c r="M452" s="66">
        <v>34</v>
      </c>
      <c r="N452" s="36">
        <f t="shared" si="422"/>
        <v>218776.16239495538</v>
      </c>
      <c r="O452" s="91" t="str">
        <f t="shared" si="370"/>
        <v>13,7404580152672</v>
      </c>
      <c r="P452" s="67" t="str">
        <f t="shared" si="371"/>
        <v>1+1484,58006265081i</v>
      </c>
      <c r="Q452" s="67">
        <f t="shared" si="382"/>
        <v>1484.5803994463497</v>
      </c>
      <c r="R452" s="67">
        <f t="shared" si="383"/>
        <v>1.5701227357411593</v>
      </c>
      <c r="S452" s="67" t="str">
        <f t="shared" si="372"/>
        <v>1+41,2383350736336i</v>
      </c>
      <c r="T452" s="67">
        <f t="shared" si="384"/>
        <v>41.25045793255245</v>
      </c>
      <c r="U452" s="67">
        <f t="shared" si="385"/>
        <v>1.5465517965993478</v>
      </c>
      <c r="V452" t="str">
        <f t="shared" si="373"/>
        <v>1-8,591319807007i</v>
      </c>
      <c r="W452" s="67">
        <f t="shared" si="386"/>
        <v>8.6493222871084416</v>
      </c>
      <c r="X452" s="67">
        <f t="shared" si="387"/>
        <v>-1.4549211959760675</v>
      </c>
      <c r="Y452" t="str">
        <f t="shared" si="374"/>
        <v>-2,06323259086489+14,9073608213593i</v>
      </c>
      <c r="Z452" s="67">
        <f t="shared" si="388"/>
        <v>15.049462959926684</v>
      </c>
      <c r="AA452" s="67">
        <f t="shared" si="389"/>
        <v>1.7083262265224053</v>
      </c>
      <c r="AB452" s="92" t="str">
        <f t="shared" si="390"/>
        <v>-0,21920125783272+0,00992029655484197i</v>
      </c>
      <c r="AC452" s="37">
        <f t="shared" si="391"/>
        <v>-13.174253226086677</v>
      </c>
      <c r="AD452" s="60">
        <f t="shared" si="392"/>
        <v>177.40875780321602</v>
      </c>
      <c r="AE452" t="str">
        <f t="shared" si="393"/>
        <v>21,0353732052265</v>
      </c>
      <c r="AF452" t="str">
        <f t="shared" si="375"/>
        <v>1+742,290031325405i</v>
      </c>
      <c r="AG452">
        <f t="shared" si="394"/>
        <v>742.29070491625498</v>
      </c>
      <c r="AH452">
        <f t="shared" si="395"/>
        <v>1.5694491452986716</v>
      </c>
      <c r="AI452" t="str">
        <f t="shared" si="376"/>
        <v>1+41,2383350736336i</v>
      </c>
      <c r="AJ452">
        <f t="shared" si="396"/>
        <v>41.25045793255245</v>
      </c>
      <c r="AK452">
        <f t="shared" si="397"/>
        <v>1.5465517965993478</v>
      </c>
      <c r="AL452" t="str">
        <f t="shared" si="377"/>
        <v>1-2,80591329923114i</v>
      </c>
      <c r="AM452">
        <f t="shared" si="398"/>
        <v>2.9787832151404001</v>
      </c>
      <c r="AN452">
        <f t="shared" si="399"/>
        <v>-1.2284400609788551</v>
      </c>
      <c r="AO452" s="58" t="str">
        <f t="shared" si="400"/>
        <v>1,09357022973227-3,30594487926892i</v>
      </c>
      <c r="AP452">
        <f t="shared" si="401"/>
        <v>10.836877429009151</v>
      </c>
      <c r="AQ452" s="60">
        <f t="shared" si="402"/>
        <v>-71.696352321392496</v>
      </c>
      <c r="AR452" t="str">
        <f t="shared" si="378"/>
        <v>-1,05811623246493</v>
      </c>
      <c r="AS452" t="str">
        <f t="shared" si="379"/>
        <v>1+40,6445030485733i</v>
      </c>
      <c r="AT452">
        <f t="shared" si="403"/>
        <v>40.656802973985599</v>
      </c>
      <c r="AU452">
        <f t="shared" si="404"/>
        <v>1.5461977164131326</v>
      </c>
      <c r="AV452" t="str">
        <f t="shared" si="380"/>
        <v>1+40,6445030485733i</v>
      </c>
      <c r="AW452">
        <f t="shared" si="405"/>
        <v>40.656802973985599</v>
      </c>
      <c r="AX452">
        <f t="shared" si="406"/>
        <v>1.5461977164131326</v>
      </c>
      <c r="AY452" t="str">
        <f t="shared" si="381"/>
        <v>1-0,000626272768647837i</v>
      </c>
      <c r="AZ452">
        <f t="shared" si="407"/>
        <v>1.0000001961087712</v>
      </c>
      <c r="BA452">
        <f t="shared" si="408"/>
        <v>-6.2627268676945954E-4</v>
      </c>
      <c r="BB452" s="58" t="str">
        <f t="shared" si="409"/>
        <v>-0,000623833979897378+0,0260180914801996i</v>
      </c>
      <c r="BC452">
        <f t="shared" si="410"/>
        <v>-31.69199526100725</v>
      </c>
      <c r="BD452" s="60">
        <f t="shared" si="411"/>
        <v>91.373513774985554</v>
      </c>
      <c r="BE452" s="58" t="str">
        <f t="shared" si="412"/>
        <v>-0,00012136199020229-0,0057093869969481i</v>
      </c>
      <c r="BF452" s="37">
        <f t="shared" si="413"/>
        <v>-44.866248487093927</v>
      </c>
      <c r="BG452" s="60">
        <f t="shared" si="414"/>
        <v>-91.217728421798398</v>
      </c>
      <c r="BH452" s="58" t="str">
        <f t="shared" si="415"/>
        <v>0,085332170028605+0,0305149710285528i</v>
      </c>
      <c r="BI452" s="37">
        <f t="shared" si="416"/>
        <v>-20.855117831998097</v>
      </c>
      <c r="BJ452" s="60">
        <f t="shared" si="417"/>
        <v>19.677161453593083</v>
      </c>
      <c r="BK452">
        <f t="shared" si="418"/>
        <v>-44.866248487093927</v>
      </c>
      <c r="BL452" s="60">
        <f t="shared" si="419"/>
        <v>-91.217728421798398</v>
      </c>
      <c r="BN452">
        <f t="shared" si="420"/>
        <v>0</v>
      </c>
      <c r="BO452">
        <f t="shared" si="421"/>
        <v>0</v>
      </c>
    </row>
    <row r="453" spans="13:67" x14ac:dyDescent="0.25">
      <c r="M453" s="66">
        <v>35</v>
      </c>
      <c r="N453" s="36">
        <f t="shared" si="422"/>
        <v>223872.11385683404</v>
      </c>
      <c r="O453" s="91" t="str">
        <f t="shared" si="370"/>
        <v>13,7404580152672</v>
      </c>
      <c r="P453" s="67" t="str">
        <f t="shared" si="371"/>
        <v>1+1519,1603745903i</v>
      </c>
      <c r="Q453" s="67">
        <f t="shared" si="382"/>
        <v>1519.1607037194387</v>
      </c>
      <c r="R453" s="67">
        <f t="shared" si="383"/>
        <v>1.5701380685410009</v>
      </c>
      <c r="S453" s="67" t="str">
        <f t="shared" si="372"/>
        <v>1+42,198899294175i</v>
      </c>
      <c r="T453" s="67">
        <f t="shared" si="384"/>
        <v>42.210746281485285</v>
      </c>
      <c r="U453" s="67">
        <f t="shared" si="385"/>
        <v>1.5471034605728673</v>
      </c>
      <c r="V453" t="str">
        <f t="shared" si="373"/>
        <v>1-8,79143735295312i</v>
      </c>
      <c r="W453" s="67">
        <f t="shared" si="386"/>
        <v>8.8481280919129652</v>
      </c>
      <c r="X453" s="67">
        <f t="shared" si="387"/>
        <v>-1.4575360784986438</v>
      </c>
      <c r="Y453" t="str">
        <f t="shared" si="374"/>
        <v>-2,20759829521458+15,2545978618977i</v>
      </c>
      <c r="Z453" s="67">
        <f t="shared" si="388"/>
        <v>15.413508561039833</v>
      </c>
      <c r="AA453" s="67">
        <f t="shared" si="389"/>
        <v>1.7145154786522503</v>
      </c>
      <c r="AB453" s="92" t="str">
        <f t="shared" si="390"/>
        <v>-0,218851102952709+0,0117182936488645i</v>
      </c>
      <c r="AC453" s="37">
        <f t="shared" si="391"/>
        <v>-13.18459169588724</v>
      </c>
      <c r="AD453" s="60">
        <f t="shared" si="392"/>
        <v>176.93504755804045</v>
      </c>
      <c r="AE453" t="str">
        <f t="shared" si="393"/>
        <v>21,0353732052265</v>
      </c>
      <c r="AF453" t="str">
        <f t="shared" si="375"/>
        <v>1+759,580187295151i</v>
      </c>
      <c r="AG453">
        <f t="shared" si="394"/>
        <v>759.58084555321466</v>
      </c>
      <c r="AH453">
        <f t="shared" si="395"/>
        <v>1.5694798108575565</v>
      </c>
      <c r="AI453" t="str">
        <f t="shared" si="376"/>
        <v>1+42,198899294175i</v>
      </c>
      <c r="AJ453">
        <f t="shared" si="396"/>
        <v>42.210746281485285</v>
      </c>
      <c r="AK453">
        <f t="shared" si="397"/>
        <v>1.5471034605728673</v>
      </c>
      <c r="AL453" t="str">
        <f t="shared" si="377"/>
        <v>1-2,87127141605061i</v>
      </c>
      <c r="AM453">
        <f t="shared" si="398"/>
        <v>3.0404275266201095</v>
      </c>
      <c r="AN453">
        <f t="shared" si="399"/>
        <v>-1.2356566129906108</v>
      </c>
      <c r="AO453" s="58" t="str">
        <f t="shared" si="400"/>
        <v>1,09356860080958-3,38171293042235i</v>
      </c>
      <c r="AP453">
        <f t="shared" si="401"/>
        <v>11.014678066426388</v>
      </c>
      <c r="AQ453" s="60">
        <f t="shared" si="402"/>
        <v>-72.079979284011216</v>
      </c>
      <c r="AR453" t="str">
        <f t="shared" si="378"/>
        <v>-1,05811623246493</v>
      </c>
      <c r="AS453" t="str">
        <f t="shared" si="379"/>
        <v>1+41,5912351443389i</v>
      </c>
      <c r="AT453">
        <f t="shared" si="403"/>
        <v>41.603255171100393</v>
      </c>
      <c r="AU453">
        <f t="shared" si="404"/>
        <v>1.5467574309489016</v>
      </c>
      <c r="AV453" t="str">
        <f t="shared" si="380"/>
        <v>1+41,5912351443389i</v>
      </c>
      <c r="AW453">
        <f t="shared" si="405"/>
        <v>41.603255171100393</v>
      </c>
      <c r="AX453">
        <f t="shared" si="406"/>
        <v>1.5467574309489016</v>
      </c>
      <c r="AY453" t="str">
        <f t="shared" si="381"/>
        <v>1-0,000612017059993712i</v>
      </c>
      <c r="AZ453">
        <f t="shared" si="407"/>
        <v>1.0000001872824233</v>
      </c>
      <c r="BA453">
        <f t="shared" si="408"/>
        <v>-6.1201698358036326E-4</v>
      </c>
      <c r="BB453" s="58" t="str">
        <f t="shared" si="409"/>
        <v>-0,000595773047488546+0,0254265220964803i</v>
      </c>
      <c r="BC453">
        <f t="shared" si="410"/>
        <v>-31.891877085851913</v>
      </c>
      <c r="BD453" s="60">
        <f t="shared" si="411"/>
        <v>91.342261285980598</v>
      </c>
      <c r="BE453" s="58" t="str">
        <f t="shared" si="412"/>
        <v>-0,000167569863843533-0,00557160384858469i</v>
      </c>
      <c r="BF453" s="37">
        <f t="shared" si="413"/>
        <v>-45.076468781739152</v>
      </c>
      <c r="BG453" s="60">
        <f t="shared" si="414"/>
        <v>-91.72269115597895</v>
      </c>
      <c r="BH453" s="58" t="str">
        <f t="shared" si="415"/>
        <v>0,0853336798513949+0,029820379610791i</v>
      </c>
      <c r="BI453" s="37">
        <f t="shared" si="416"/>
        <v>-20.877199019425525</v>
      </c>
      <c r="BJ453" s="60">
        <f t="shared" si="417"/>
        <v>19.262282001969403</v>
      </c>
      <c r="BK453">
        <f t="shared" si="418"/>
        <v>-45.076468781739152</v>
      </c>
      <c r="BL453" s="60">
        <f t="shared" si="419"/>
        <v>-91.72269115597895</v>
      </c>
      <c r="BN453">
        <f t="shared" si="420"/>
        <v>0</v>
      </c>
      <c r="BO453">
        <f t="shared" si="421"/>
        <v>0</v>
      </c>
    </row>
    <row r="454" spans="13:67" x14ac:dyDescent="0.25">
      <c r="M454" s="66">
        <v>36</v>
      </c>
      <c r="N454" s="36">
        <f t="shared" si="422"/>
        <v>229086.76527677779</v>
      </c>
      <c r="O454" s="91" t="str">
        <f t="shared" si="370"/>
        <v>13,7404580152672</v>
      </c>
      <c r="P454" s="67" t="str">
        <f t="shared" si="371"/>
        <v>1+1554,54616546886i</v>
      </c>
      <c r="Q454" s="67">
        <f t="shared" si="382"/>
        <v>1554.5464871061065</v>
      </c>
      <c r="R454" s="67">
        <f t="shared" si="383"/>
        <v>1.5701530523240066</v>
      </c>
      <c r="S454" s="67" t="str">
        <f t="shared" si="372"/>
        <v>1+43,1818379296905i</v>
      </c>
      <c r="T454" s="67">
        <f t="shared" si="384"/>
        <v>43.193415319769031</v>
      </c>
      <c r="U454" s="67">
        <f t="shared" si="385"/>
        <v>1.5476425810790688</v>
      </c>
      <c r="V454" t="str">
        <f t="shared" si="373"/>
        <v>1-8,99621623535219i</v>
      </c>
      <c r="W454" s="67">
        <f t="shared" si="386"/>
        <v>9.051624525642584</v>
      </c>
      <c r="X454" s="67">
        <f t="shared" si="387"/>
        <v>-1.4600929429787779</v>
      </c>
      <c r="Y454" t="str">
        <f t="shared" si="374"/>
        <v>-2,35876774559858+15,6099230921409i</v>
      </c>
      <c r="Z454" s="67">
        <f t="shared" si="388"/>
        <v>15.787130335188531</v>
      </c>
      <c r="AA454" s="67">
        <f t="shared" si="389"/>
        <v>1.7207686822185511</v>
      </c>
      <c r="AB454" s="92" t="str">
        <f t="shared" si="390"/>
        <v>-0,218478680154169+0,0135146893478652i</v>
      </c>
      <c r="AC454" s="37">
        <f t="shared" si="391"/>
        <v>-13.195232458900241</v>
      </c>
      <c r="AD454" s="60">
        <f t="shared" si="392"/>
        <v>176.46029866388358</v>
      </c>
      <c r="AE454" t="str">
        <f t="shared" si="393"/>
        <v>21,0353732052265</v>
      </c>
      <c r="AF454" t="str">
        <f t="shared" si="375"/>
        <v>1+777,27308273443i</v>
      </c>
      <c r="AG454">
        <f t="shared" si="394"/>
        <v>777.27372600872332</v>
      </c>
      <c r="AH454">
        <f t="shared" si="395"/>
        <v>1.5695097783854928</v>
      </c>
      <c r="AI454" t="str">
        <f t="shared" si="376"/>
        <v>1+43,1818379296905i</v>
      </c>
      <c r="AJ454">
        <f t="shared" si="396"/>
        <v>43.193415319769031</v>
      </c>
      <c r="AK454">
        <f t="shared" si="397"/>
        <v>1.5476425810790688</v>
      </c>
      <c r="AL454" t="str">
        <f t="shared" si="377"/>
        <v>1-2,93815191898062i</v>
      </c>
      <c r="AM454">
        <f t="shared" si="398"/>
        <v>3.1036650429789461</v>
      </c>
      <c r="AN454">
        <f t="shared" si="399"/>
        <v>-1.2427441226817364</v>
      </c>
      <c r="AO454" s="58" t="str">
        <f t="shared" si="400"/>
        <v>1,09356704520024-3,45927401034064i</v>
      </c>
      <c r="AP454">
        <f t="shared" si="401"/>
        <v>11.193372478819068</v>
      </c>
      <c r="AQ454" s="60">
        <f t="shared" si="402"/>
        <v>-72.456891359789708</v>
      </c>
      <c r="AR454" t="str">
        <f t="shared" si="378"/>
        <v>-1,05811623246493</v>
      </c>
      <c r="AS454" t="str">
        <f t="shared" si="379"/>
        <v>1+42,560019463503i</v>
      </c>
      <c r="AT454">
        <f t="shared" si="403"/>
        <v>42.571765957424809</v>
      </c>
      <c r="AU454">
        <f t="shared" si="404"/>
        <v>1.5473044193835819</v>
      </c>
      <c r="AV454" t="str">
        <f t="shared" si="380"/>
        <v>1+42,560019463503i</v>
      </c>
      <c r="AW454">
        <f t="shared" si="405"/>
        <v>42.571765957424809</v>
      </c>
      <c r="AX454">
        <f t="shared" si="406"/>
        <v>1.5473044193835819</v>
      </c>
      <c r="AY454" t="str">
        <f t="shared" si="381"/>
        <v>1-0,000598085850885802i</v>
      </c>
      <c r="AZ454">
        <f t="shared" si="407"/>
        <v>1.0000001788533264</v>
      </c>
      <c r="BA454">
        <f t="shared" si="408"/>
        <v>-5.9808577957271491E-4</v>
      </c>
      <c r="BB454" s="58" t="str">
        <f t="shared" si="409"/>
        <v>-0,00056897363852817+0,0248483734772089i</v>
      </c>
      <c r="BC454">
        <f t="shared" si="410"/>
        <v>-32.091764226448902</v>
      </c>
      <c r="BD454" s="60">
        <f t="shared" si="411"/>
        <v>91.311719356424121</v>
      </c>
      <c r="BE454" s="58" t="str">
        <f t="shared" si="412"/>
        <v>-0,000211509438756061-0,00543652934325029i</v>
      </c>
      <c r="BF454" s="37">
        <f t="shared" si="413"/>
        <v>-45.286996685349138</v>
      </c>
      <c r="BG454" s="60">
        <f t="shared" si="414"/>
        <v>-92.227981979692288</v>
      </c>
      <c r="BH454" s="58" t="str">
        <f t="shared" si="415"/>
        <v>0,0853351217482644+0,0291415980818328i</v>
      </c>
      <c r="BI454" s="37">
        <f t="shared" si="416"/>
        <v>-20.898391747629827</v>
      </c>
      <c r="BJ454" s="60">
        <f t="shared" si="417"/>
        <v>18.854827996634409</v>
      </c>
      <c r="BK454">
        <f t="shared" si="418"/>
        <v>-45.286996685349138</v>
      </c>
      <c r="BL454" s="60">
        <f t="shared" si="419"/>
        <v>-92.227981979692288</v>
      </c>
      <c r="BN454">
        <f t="shared" si="420"/>
        <v>0</v>
      </c>
      <c r="BO454">
        <f t="shared" si="421"/>
        <v>0</v>
      </c>
    </row>
    <row r="455" spans="13:67" x14ac:dyDescent="0.25">
      <c r="M455" s="66">
        <v>37</v>
      </c>
      <c r="N455" s="36">
        <f t="shared" si="422"/>
        <v>234422.88153199267</v>
      </c>
      <c r="O455" s="91" t="str">
        <f t="shared" si="370"/>
        <v>13,7404580152672</v>
      </c>
      <c r="P455" s="67" t="str">
        <f t="shared" si="371"/>
        <v>1+1590,7561973012i</v>
      </c>
      <c r="Q455" s="67">
        <f t="shared" si="382"/>
        <v>1590.7565116170904</v>
      </c>
      <c r="R455" s="67">
        <f t="shared" si="383"/>
        <v>1.5701676950347496</v>
      </c>
      <c r="S455" s="67" t="str">
        <f t="shared" si="372"/>
        <v>1+44,1876721472556i</v>
      </c>
      <c r="T455" s="67">
        <f t="shared" si="384"/>
        <v>44.198986072005631</v>
      </c>
      <c r="U455" s="67">
        <f t="shared" si="385"/>
        <v>1.5481694427124959</v>
      </c>
      <c r="V455" t="str">
        <f t="shared" si="373"/>
        <v>1-9,20576503067825i</v>
      </c>
      <c r="W455" s="67">
        <f t="shared" si="386"/>
        <v>9.2599195352907113</v>
      </c>
      <c r="X455" s="67">
        <f t="shared" si="387"/>
        <v>-1.4625930113022547</v>
      </c>
      <c r="Y455" t="str">
        <f t="shared" si="374"/>
        <v>-2,51706159268883+15,9735249102293i</v>
      </c>
      <c r="Z455" s="67">
        <f t="shared" si="388"/>
        <v>16.170624512340432</v>
      </c>
      <c r="AA455" s="67">
        <f t="shared" si="389"/>
        <v>1.72708826956251</v>
      </c>
      <c r="AB455" s="92" t="str">
        <f t="shared" si="390"/>
        <v>-0,218083439434113+0,0153098641969697i</v>
      </c>
      <c r="AC455" s="37">
        <f t="shared" si="391"/>
        <v>-13.206195467716377</v>
      </c>
      <c r="AD455" s="60">
        <f t="shared" si="392"/>
        <v>175.9843175998374</v>
      </c>
      <c r="AE455" t="str">
        <f t="shared" si="393"/>
        <v>21,0353732052265</v>
      </c>
      <c r="AF455" t="str">
        <f t="shared" si="375"/>
        <v>1+795,378098650602i</v>
      </c>
      <c r="AG455">
        <f t="shared" si="394"/>
        <v>795.37872728219656</v>
      </c>
      <c r="AH455">
        <f t="shared" si="395"/>
        <v>1.5695390637714453</v>
      </c>
      <c r="AI455" t="str">
        <f t="shared" si="376"/>
        <v>1+44,1876721472556i</v>
      </c>
      <c r="AJ455">
        <f t="shared" si="396"/>
        <v>44.198986072005631</v>
      </c>
      <c r="AK455">
        <f t="shared" si="397"/>
        <v>1.5481694427124959</v>
      </c>
      <c r="AL455" t="str">
        <f t="shared" si="377"/>
        <v>1-3,00659026894912i</v>
      </c>
      <c r="AM455">
        <f t="shared" si="398"/>
        <v>3.1685304236095861</v>
      </c>
      <c r="AN455">
        <f t="shared" si="399"/>
        <v>-1.2497034988199298</v>
      </c>
      <c r="AO455" s="58" t="str">
        <f t="shared" si="400"/>
        <v>1,09356555960463-3,53866924294792i</v>
      </c>
      <c r="AP455">
        <f t="shared" si="401"/>
        <v>11.372928767276818</v>
      </c>
      <c r="AQ455" s="60">
        <f t="shared" si="402"/>
        <v>-72.827125221585945</v>
      </c>
      <c r="AR455" t="str">
        <f t="shared" si="378"/>
        <v>-1,05811623246493</v>
      </c>
      <c r="AS455" t="str">
        <f t="shared" si="379"/>
        <v>1+43,5513696683351i</v>
      </c>
      <c r="AT455">
        <f t="shared" si="403"/>
        <v>43.562848850689029</v>
      </c>
      <c r="AU455">
        <f t="shared" si="404"/>
        <v>1.5478389704276758</v>
      </c>
      <c r="AV455" t="str">
        <f t="shared" si="380"/>
        <v>1+43,5513696683351i</v>
      </c>
      <c r="AW455">
        <f t="shared" si="405"/>
        <v>43.562848850689029</v>
      </c>
      <c r="AX455">
        <f t="shared" si="406"/>
        <v>1.5478389704276758</v>
      </c>
      <c r="AY455" t="str">
        <f t="shared" si="381"/>
        <v>1-0,000584471754812631i</v>
      </c>
      <c r="AZ455">
        <f t="shared" si="407"/>
        <v>1.0000001708036015</v>
      </c>
      <c r="BA455">
        <f t="shared" si="408"/>
        <v>-5.8447168825938518E-4</v>
      </c>
      <c r="BB455" s="58" t="str">
        <f t="shared" si="409"/>
        <v>-0,000543379100527797+0,024283343128318i</v>
      </c>
      <c r="BC455">
        <f t="shared" si="410"/>
        <v>-32.291656443814325</v>
      </c>
      <c r="BD455" s="60">
        <f t="shared" si="411"/>
        <v>91.281871867637378</v>
      </c>
      <c r="BE455" s="58" t="str">
        <f t="shared" si="412"/>
        <v>-0,000253272702383249-0,00530411405061888i</v>
      </c>
      <c r="BF455" s="37">
        <f t="shared" si="413"/>
        <v>-45.497851911530695</v>
      </c>
      <c r="BG455" s="60">
        <f t="shared" si="414"/>
        <v>-92.733810532525212</v>
      </c>
      <c r="BH455" s="58" t="str">
        <f t="shared" si="415"/>
        <v>0,0853364987739835+0,0284782666274887i</v>
      </c>
      <c r="BI455" s="37">
        <f t="shared" si="416"/>
        <v>-20.918727676537504</v>
      </c>
      <c r="BJ455" s="60">
        <f t="shared" si="417"/>
        <v>18.454746646051422</v>
      </c>
      <c r="BK455">
        <f t="shared" si="418"/>
        <v>-45.497851911530695</v>
      </c>
      <c r="BL455" s="60">
        <f t="shared" si="419"/>
        <v>-92.733810532525212</v>
      </c>
      <c r="BN455">
        <f t="shared" si="420"/>
        <v>0</v>
      </c>
      <c r="BO455">
        <f t="shared" si="421"/>
        <v>0</v>
      </c>
    </row>
    <row r="456" spans="13:67" x14ac:dyDescent="0.25">
      <c r="M456" s="66">
        <v>38</v>
      </c>
      <c r="N456" s="36">
        <f t="shared" si="422"/>
        <v>239883.29190194907</v>
      </c>
      <c r="O456" s="91" t="str">
        <f t="shared" si="370"/>
        <v>13,7404580152672</v>
      </c>
      <c r="P456" s="67" t="str">
        <f t="shared" si="371"/>
        <v>1+1627,8096691255i</v>
      </c>
      <c r="Q456" s="67">
        <f t="shared" si="382"/>
        <v>1627.8099762866889</v>
      </c>
      <c r="R456" s="67">
        <f t="shared" si="383"/>
        <v>1.5701820044369641</v>
      </c>
      <c r="S456" s="67" t="str">
        <f t="shared" si="372"/>
        <v>1+45,216935253486i</v>
      </c>
      <c r="T456" s="67">
        <f t="shared" si="384"/>
        <v>45.227991705557137</v>
      </c>
      <c r="U456" s="67">
        <f t="shared" si="385"/>
        <v>1.548684323651506</v>
      </c>
      <c r="V456" t="str">
        <f t="shared" si="373"/>
        <v>1-9,42019484447625i</v>
      </c>
      <c r="W456" s="67">
        <f t="shared" si="386"/>
        <v>9.4731236088154631</v>
      </c>
      <c r="X456" s="67">
        <f t="shared" si="387"/>
        <v>-1.4650374839602338</v>
      </c>
      <c r="Y456" t="str">
        <f t="shared" si="374"/>
        <v>-2,68281559895782+16,3455961026596i</v>
      </c>
      <c r="Z456" s="67">
        <f t="shared" si="388"/>
        <v>16.564299305714446</v>
      </c>
      <c r="AA456" s="67">
        <f t="shared" si="389"/>
        <v>1.7334766545758056</v>
      </c>
      <c r="AB456" s="92" t="str">
        <f t="shared" si="390"/>
        <v>-0,217664804092766+0,0171041677955909i</v>
      </c>
      <c r="AC456" s="37">
        <f t="shared" si="391"/>
        <v>-13.217501152571332</v>
      </c>
      <c r="AD456" s="60">
        <f t="shared" si="392"/>
        <v>175.50691277063638</v>
      </c>
      <c r="AE456" t="str">
        <f t="shared" si="393"/>
        <v>21,0353732052265</v>
      </c>
      <c r="AF456" t="str">
        <f t="shared" si="375"/>
        <v>1+813,904834562749i</v>
      </c>
      <c r="AG456">
        <f t="shared" si="394"/>
        <v>813.90544888495231</v>
      </c>
      <c r="AH456">
        <f t="shared" si="395"/>
        <v>1.5695676825427116</v>
      </c>
      <c r="AI456" t="str">
        <f t="shared" si="376"/>
        <v>1+45,216935253486i</v>
      </c>
      <c r="AJ456">
        <f t="shared" si="396"/>
        <v>45.227991705557137</v>
      </c>
      <c r="AK456">
        <f t="shared" si="397"/>
        <v>1.548684323651506</v>
      </c>
      <c r="AL456" t="str">
        <f t="shared" si="377"/>
        <v>1-3,07662275287514i</v>
      </c>
      <c r="AM456">
        <f t="shared" si="398"/>
        <v>3.2350591282863759</v>
      </c>
      <c r="AN456">
        <f t="shared" si="399"/>
        <v>-1.2565357339597683</v>
      </c>
      <c r="AO456" s="58" t="str">
        <f t="shared" si="400"/>
        <v>1,09356414087163-3,61994072465946i</v>
      </c>
      <c r="AP456">
        <f t="shared" si="401"/>
        <v>11.553315845646761</v>
      </c>
      <c r="AQ456" s="60">
        <f t="shared" si="402"/>
        <v>-73.190722689791016</v>
      </c>
      <c r="AR456" t="str">
        <f t="shared" si="378"/>
        <v>-1,05811623246493</v>
      </c>
      <c r="AS456" t="str">
        <f t="shared" si="379"/>
        <v>1+44,5658113858358i</v>
      </c>
      <c r="AT456">
        <f t="shared" si="403"/>
        <v>44.577029336620129</v>
      </c>
      <c r="AU456">
        <f t="shared" si="404"/>
        <v>1.5483613662845612</v>
      </c>
      <c r="AV456" t="str">
        <f t="shared" si="380"/>
        <v>1+44,5658113858358i</v>
      </c>
      <c r="AW456">
        <f t="shared" si="405"/>
        <v>44.577029336620129</v>
      </c>
      <c r="AX456">
        <f t="shared" si="406"/>
        <v>1.5483613662845612</v>
      </c>
      <c r="AY456" t="str">
        <f t="shared" si="381"/>
        <v>1-0,000571167553400263i</v>
      </c>
      <c r="AZ456">
        <f t="shared" si="407"/>
        <v>1.0000001631161737</v>
      </c>
      <c r="BA456">
        <f t="shared" si="408"/>
        <v>-5.7116749128915956E-4</v>
      </c>
      <c r="BB456" s="58" t="str">
        <f t="shared" si="409"/>
        <v>-0,000518935319758509+0,0237311352415162i</v>
      </c>
      <c r="BC456">
        <f t="shared" si="410"/>
        <v>-32.49155350969702</v>
      </c>
      <c r="BD456" s="60">
        <f t="shared" si="411"/>
        <v>91.252703064138942</v>
      </c>
      <c r="BE456" s="58" t="str">
        <f t="shared" si="412"/>
        <v>-0,000292947364438701-0,00517430886002777i</v>
      </c>
      <c r="BF456" s="37">
        <f t="shared" si="413"/>
        <v>-45.709054662268343</v>
      </c>
      <c r="BG456" s="60">
        <f t="shared" si="414"/>
        <v>-93.240384165224683</v>
      </c>
      <c r="BH456" s="58" t="str">
        <f t="shared" si="415"/>
        <v>0,0853378138460461+0,0278300336197551i</v>
      </c>
      <c r="BI456" s="37">
        <f t="shared" si="416"/>
        <v>-20.938237664050266</v>
      </c>
      <c r="BJ456" s="60">
        <f t="shared" si="417"/>
        <v>18.061980374347907</v>
      </c>
      <c r="BK456">
        <f t="shared" si="418"/>
        <v>-45.709054662268343</v>
      </c>
      <c r="BL456" s="60">
        <f t="shared" si="419"/>
        <v>-93.240384165224683</v>
      </c>
      <c r="BN456">
        <f t="shared" si="420"/>
        <v>0</v>
      </c>
      <c r="BO456">
        <f t="shared" si="421"/>
        <v>0</v>
      </c>
    </row>
    <row r="457" spans="13:67" x14ac:dyDescent="0.25">
      <c r="M457" s="66">
        <v>39</v>
      </c>
      <c r="N457" s="36">
        <f t="shared" si="422"/>
        <v>245470.89156850305</v>
      </c>
      <c r="O457" s="91" t="str">
        <f t="shared" si="370"/>
        <v>13,7404580152672</v>
      </c>
      <c r="P457" s="67" t="str">
        <f t="shared" si="371"/>
        <v>1+1665,72622718297i</v>
      </c>
      <c r="Q457" s="67">
        <f t="shared" si="382"/>
        <v>1665.7265273523176</v>
      </c>
      <c r="R457" s="67">
        <f t="shared" si="383"/>
        <v>1.5701959881176606</v>
      </c>
      <c r="S457" s="67" t="str">
        <f t="shared" si="372"/>
        <v>1+46,2701729773047i</v>
      </c>
      <c r="T457" s="67">
        <f t="shared" si="384"/>
        <v>46.280977813240916</v>
      </c>
      <c r="U457" s="67">
        <f t="shared" si="385"/>
        <v>1.5491874958001934</v>
      </c>
      <c r="V457" t="str">
        <f t="shared" si="373"/>
        <v>1-9,63961937027181i</v>
      </c>
      <c r="W457" s="67">
        <f t="shared" si="386"/>
        <v>9.691349833935389</v>
      </c>
      <c r="X457" s="67">
        <f t="shared" si="387"/>
        <v>-1.4674275401263102</v>
      </c>
      <c r="Y457" t="str">
        <f t="shared" si="374"/>
        <v>-2,85638135087589+16,7263339465032i</v>
      </c>
      <c r="Z457" s="67">
        <f t="shared" si="388"/>
        <v>16.968475527034741</v>
      </c>
      <c r="AA457" s="67">
        <f t="shared" si="389"/>
        <v>1.7399362305407111</v>
      </c>
      <c r="AB457" s="92" t="str">
        <f t="shared" si="390"/>
        <v>-0,217222171231631+0,0188979171901104i</v>
      </c>
      <c r="AC457" s="37">
        <f t="shared" si="391"/>
        <v>-13.22917044414438</v>
      </c>
      <c r="AD457" s="60">
        <f t="shared" si="392"/>
        <v>175.02789463389013</v>
      </c>
      <c r="AE457" t="str">
        <f t="shared" si="393"/>
        <v>21,0353732052265</v>
      </c>
      <c r="AF457" t="str">
        <f t="shared" si="375"/>
        <v>1+832,863113591485i</v>
      </c>
      <c r="AG457">
        <f t="shared" si="394"/>
        <v>832.86371393001798</v>
      </c>
      <c r="AH457">
        <f t="shared" si="395"/>
        <v>1.569595649873156</v>
      </c>
      <c r="AI457" t="str">
        <f t="shared" si="376"/>
        <v>1+46,2701729773047i</v>
      </c>
      <c r="AJ457">
        <f t="shared" si="396"/>
        <v>46.280977813240916</v>
      </c>
      <c r="AK457">
        <f t="shared" si="397"/>
        <v>1.5491874958001934</v>
      </c>
      <c r="AL457" t="str">
        <f t="shared" si="377"/>
        <v>1-3,14828650290864i</v>
      </c>
      <c r="AM457">
        <f t="shared" si="398"/>
        <v>3.3032874389608775</v>
      </c>
      <c r="AN457">
        <f t="shared" si="399"/>
        <v>-1.2632418983737461</v>
      </c>
      <c r="AO457" s="58" t="str">
        <f t="shared" si="400"/>
        <v>1,09356278599195-3,70313154670185i</v>
      </c>
      <c r="AP457">
        <f t="shared" si="401"/>
        <v>11.734503446406494</v>
      </c>
      <c r="AQ457" s="60">
        <f t="shared" si="402"/>
        <v>-73.54773037694315</v>
      </c>
      <c r="AR457" t="str">
        <f t="shared" si="378"/>
        <v>-1,05811623246493</v>
      </c>
      <c r="AS457" t="str">
        <f t="shared" si="379"/>
        <v>1+45,6038824864315i</v>
      </c>
      <c r="AT457">
        <f t="shared" si="403"/>
        <v>45.614845147564111</v>
      </c>
      <c r="AU457">
        <f t="shared" si="404"/>
        <v>1.548871882794298</v>
      </c>
      <c r="AV457" t="str">
        <f t="shared" si="380"/>
        <v>1+45,6038824864315i</v>
      </c>
      <c r="AW457">
        <f t="shared" si="405"/>
        <v>45.614845147564111</v>
      </c>
      <c r="AX457">
        <f t="shared" si="406"/>
        <v>1.548871882794298</v>
      </c>
      <c r="AY457" t="str">
        <f t="shared" si="381"/>
        <v>1-0,000558166192585004i</v>
      </c>
      <c r="AZ457">
        <f t="shared" si="407"/>
        <v>1.0000001557747371</v>
      </c>
      <c r="BA457">
        <f t="shared" si="408"/>
        <v>-5.5816613461954904E-4</v>
      </c>
      <c r="BB457" s="58" t="str">
        <f t="shared" si="409"/>
        <v>-0,000495590607956082+0,0231914605553956i</v>
      </c>
      <c r="BC457">
        <f t="shared" si="410"/>
        <v>-32.6914552060977</v>
      </c>
      <c r="BD457" s="60">
        <f t="shared" si="411"/>
        <v>91.224197545624378</v>
      </c>
      <c r="BE457" s="58" t="str">
        <f t="shared" si="412"/>
        <v>-0,000330617033191354-0,00504706504614511i</v>
      </c>
      <c r="BF457" s="37">
        <f t="shared" si="413"/>
        <v>-45.92062565024208</v>
      </c>
      <c r="BG457" s="60">
        <f t="shared" si="414"/>
        <v>-93.747907820485494</v>
      </c>
      <c r="BH457" s="58" t="str">
        <f t="shared" si="415"/>
        <v>0,0853390697508292+0,0271965554307521i</v>
      </c>
      <c r="BI457" s="37">
        <f t="shared" si="416"/>
        <v>-20.956951759691208</v>
      </c>
      <c r="BJ457" s="60">
        <f t="shared" si="417"/>
        <v>17.676467168681217</v>
      </c>
      <c r="BK457">
        <f t="shared" si="418"/>
        <v>-45.92062565024208</v>
      </c>
      <c r="BL457" s="60">
        <f t="shared" si="419"/>
        <v>-93.747907820485494</v>
      </c>
      <c r="BN457">
        <f t="shared" si="420"/>
        <v>0</v>
      </c>
      <c r="BO457">
        <f t="shared" si="421"/>
        <v>0</v>
      </c>
    </row>
    <row r="458" spans="13:67" x14ac:dyDescent="0.25">
      <c r="M458" s="66">
        <v>40</v>
      </c>
      <c r="N458" s="36">
        <f t="shared" si="422"/>
        <v>251188.64315095844</v>
      </c>
      <c r="O458" s="91" t="str">
        <f t="shared" si="370"/>
        <v>13,7404580152672</v>
      </c>
      <c r="P458" s="67" t="str">
        <f t="shared" si="371"/>
        <v>1+1704,5259753346i</v>
      </c>
      <c r="Q458" s="67">
        <f t="shared" si="382"/>
        <v>1704.5262686712601</v>
      </c>
      <c r="R458" s="67">
        <f t="shared" si="383"/>
        <v>1.57020965349115</v>
      </c>
      <c r="S458" s="67" t="str">
        <f t="shared" si="372"/>
        <v>1+47,3479437592945i</v>
      </c>
      <c r="T458" s="67">
        <f t="shared" si="384"/>
        <v>47.358502702612071</v>
      </c>
      <c r="U458" s="67">
        <f t="shared" si="385"/>
        <v>1.5496792249273539</v>
      </c>
      <c r="V458" t="str">
        <f t="shared" si="373"/>
        <v>1-9,864154949853i</v>
      </c>
      <c r="W458" s="67">
        <f t="shared" si="386"/>
        <v>9.9147139582899442</v>
      </c>
      <c r="X458" s="67">
        <f t="shared" si="387"/>
        <v>-1.4697643377572216</v>
      </c>
      <c r="Y458" t="str">
        <f t="shared" si="374"/>
        <v>-3,03812700467326+17,1159403140045i</v>
      </c>
      <c r="Z458" s="67">
        <f t="shared" si="388"/>
        <v>17.38348723729187</v>
      </c>
      <c r="AA458" s="67">
        <f t="shared" si="389"/>
        <v>1.7464693677995371</v>
      </c>
      <c r="AB458" s="92" t="str">
        <f t="shared" si="390"/>
        <v>-0,216754912328088+0,0206913952082621i</v>
      </c>
      <c r="AC458" s="37">
        <f t="shared" si="391"/>
        <v>-13.241224795951837</v>
      </c>
      <c r="AD458" s="60">
        <f t="shared" si="392"/>
        <v>174.54707583557587</v>
      </c>
      <c r="AE458" t="str">
        <f t="shared" si="393"/>
        <v>21,0353732052265</v>
      </c>
      <c r="AF458" t="str">
        <f t="shared" si="375"/>
        <v>1+852,2629876673i</v>
      </c>
      <c r="AG458">
        <f t="shared" si="394"/>
        <v>852.26357434046918</v>
      </c>
      <c r="AH458">
        <f t="shared" si="395"/>
        <v>1.569622980591252</v>
      </c>
      <c r="AI458" t="str">
        <f t="shared" si="376"/>
        <v>1+47,3479437592945i</v>
      </c>
      <c r="AJ458">
        <f t="shared" si="396"/>
        <v>47.358502702612071</v>
      </c>
      <c r="AK458">
        <f t="shared" si="397"/>
        <v>1.5496792249273539</v>
      </c>
      <c r="AL458" t="str">
        <f t="shared" si="377"/>
        <v>1-3,22161951611851i</v>
      </c>
      <c r="AM458">
        <f t="shared" si="398"/>
        <v>3.3732524818986884</v>
      </c>
      <c r="AN458">
        <f t="shared" si="399"/>
        <v>-1.2698231341643802</v>
      </c>
      <c r="AO458" s="58" t="str">
        <f t="shared" si="400"/>
        <v>1,09356149209172-3,7882858179606i</v>
      </c>
      <c r="AP458">
        <f t="shared" si="401"/>
        <v>11.916462123862209</v>
      </c>
      <c r="AQ458" s="60">
        <f t="shared" si="402"/>
        <v>-73.898199342875003</v>
      </c>
      <c r="AR458" t="str">
        <f t="shared" si="378"/>
        <v>-1,05811623246493</v>
      </c>
      <c r="AS458" t="str">
        <f t="shared" si="379"/>
        <v>1+46,6661333691606i</v>
      </c>
      <c r="AT458">
        <f t="shared" si="403"/>
        <v>46.676846547600917</v>
      </c>
      <c r="AU458">
        <f t="shared" si="404"/>
        <v>1.5493707895744522</v>
      </c>
      <c r="AV458" t="str">
        <f t="shared" si="380"/>
        <v>1+46,6661333691606i</v>
      </c>
      <c r="AW458">
        <f t="shared" si="405"/>
        <v>46.676846547600917</v>
      </c>
      <c r="AX458">
        <f t="shared" si="406"/>
        <v>1.5493707895744522</v>
      </c>
      <c r="AY458" t="str">
        <f t="shared" si="381"/>
        <v>1-0,000545460778873253i</v>
      </c>
      <c r="AZ458">
        <f t="shared" si="407"/>
        <v>1.0000001487637196</v>
      </c>
      <c r="BA458">
        <f t="shared" si="408"/>
        <v>-5.4546072477674242E-4</v>
      </c>
      <c r="BB458" s="58" t="str">
        <f t="shared" si="409"/>
        <v>-0,000473295594040288+0,0226640362188189i</v>
      </c>
      <c r="BC458">
        <f t="shared" si="410"/>
        <v>-32.891361324809317</v>
      </c>
      <c r="BD458" s="60">
        <f t="shared" si="411"/>
        <v>91.196340259112063</v>
      </c>
      <c r="BE458" s="58" t="str">
        <f t="shared" si="412"/>
        <v>-0,000366361385426475-0,00492233432979732i</v>
      </c>
      <c r="BF458" s="37">
        <f t="shared" si="413"/>
        <v>-46.132586120761147</v>
      </c>
      <c r="BG458" s="60">
        <f t="shared" si="414"/>
        <v>-94.256583905312041</v>
      </c>
      <c r="BH458" s="58" t="str">
        <f t="shared" si="415"/>
        <v>0,0853402691494779+0,0265774962508784i</v>
      </c>
      <c r="BI458" s="37">
        <f t="shared" si="416"/>
        <v>-20.97489920094711</v>
      </c>
      <c r="BJ458" s="60">
        <f t="shared" si="417"/>
        <v>17.298140916237038</v>
      </c>
      <c r="BK458">
        <f t="shared" si="418"/>
        <v>-46.132586120761147</v>
      </c>
      <c r="BL458" s="60">
        <f t="shared" si="419"/>
        <v>-94.256583905312041</v>
      </c>
      <c r="BN458">
        <f t="shared" si="420"/>
        <v>0</v>
      </c>
      <c r="BO458">
        <f t="shared" si="421"/>
        <v>0</v>
      </c>
    </row>
    <row r="459" spans="13:67" x14ac:dyDescent="0.25">
      <c r="M459" s="66">
        <v>41</v>
      </c>
      <c r="N459" s="36">
        <f t="shared" si="422"/>
        <v>257039.57827688678</v>
      </c>
      <c r="O459" s="91" t="str">
        <f t="shared" si="370"/>
        <v>13,7404580152672</v>
      </c>
      <c r="P459" s="67" t="str">
        <f t="shared" si="371"/>
        <v>1+1744,22948572041i</v>
      </c>
      <c r="Q459" s="67">
        <f t="shared" si="382"/>
        <v>1744.2297723799136</v>
      </c>
      <c r="R459" s="67">
        <f t="shared" si="383"/>
        <v>1.570223007802974</v>
      </c>
      <c r="S459" s="67" t="str">
        <f t="shared" si="372"/>
        <v>1+48,4508190477892i</v>
      </c>
      <c r="T459" s="67">
        <f t="shared" si="384"/>
        <v>48.461137691985861</v>
      </c>
      <c r="U459" s="67">
        <f t="shared" si="385"/>
        <v>1.5501597708025421</v>
      </c>
      <c r="V459" t="str">
        <f t="shared" si="373"/>
        <v>1-10,0939206349561i</v>
      </c>
      <c r="W459" s="67">
        <f t="shared" si="386"/>
        <v>10.143334450997491</v>
      </c>
      <c r="X459" s="67">
        <f t="shared" si="387"/>
        <v>-1.4720490137151745</v>
      </c>
      <c r="Y459" t="str">
        <f t="shared" si="374"/>
        <v>-3,22843806724862+17,5146217796164i</v>
      </c>
      <c r="Z459" s="67">
        <f t="shared" si="388"/>
        <v>17.809682435042834</v>
      </c>
      <c r="AA459" s="67">
        <f t="shared" si="389"/>
        <v>1.7530784112467763</v>
      </c>
      <c r="AB459" s="92" t="str">
        <f t="shared" si="390"/>
        <v>-0,216262373895005+0,0224848487365033i</v>
      </c>
      <c r="AC459" s="37">
        <f t="shared" si="391"/>
        <v>-13.253686206257969</v>
      </c>
      <c r="AD459" s="60">
        <f t="shared" si="392"/>
        <v>174.06427135428967</v>
      </c>
      <c r="AE459" t="str">
        <f t="shared" si="393"/>
        <v>21,0353732052265</v>
      </c>
      <c r="AF459" t="str">
        <f t="shared" si="375"/>
        <v>1+872,114742860205i</v>
      </c>
      <c r="AG459">
        <f t="shared" si="394"/>
        <v>872.11531617907133</v>
      </c>
      <c r="AH459">
        <f t="shared" si="395"/>
        <v>1.5696496891879448</v>
      </c>
      <c r="AI459" t="str">
        <f t="shared" si="376"/>
        <v>1+48,4508190477892i</v>
      </c>
      <c r="AJ459">
        <f t="shared" si="396"/>
        <v>48.461137691985861</v>
      </c>
      <c r="AK459">
        <f t="shared" si="397"/>
        <v>1.5501597708025421</v>
      </c>
      <c r="AL459" t="str">
        <f t="shared" si="377"/>
        <v>1-3,29666067463898i</v>
      </c>
      <c r="AM459">
        <f t="shared" si="398"/>
        <v>3.4449922501670649</v>
      </c>
      <c r="AN459">
        <f t="shared" si="399"/>
        <v>-1.2762806495672274</v>
      </c>
      <c r="AO459" s="58" t="str">
        <f t="shared" si="400"/>
        <v>1,09356025642644-3,87544868836719i</v>
      </c>
      <c r="AP459">
        <f t="shared" si="401"/>
        <v>12.099163254872261</v>
      </c>
      <c r="AQ459" s="60">
        <f t="shared" si="402"/>
        <v>-74.242184760955354</v>
      </c>
      <c r="AR459" t="str">
        <f t="shared" si="378"/>
        <v>-1,05811623246493</v>
      </c>
      <c r="AS459" t="str">
        <f t="shared" si="379"/>
        <v>1+47,753127253501i</v>
      </c>
      <c r="AT459">
        <f t="shared" si="403"/>
        <v>47.763596624302281</v>
      </c>
      <c r="AU459">
        <f t="shared" si="404"/>
        <v>1.5498583501579772</v>
      </c>
      <c r="AV459" t="str">
        <f t="shared" si="380"/>
        <v>1+47,753127253501i</v>
      </c>
      <c r="AW459">
        <f t="shared" si="405"/>
        <v>47.763596624302281</v>
      </c>
      <c r="AX459">
        <f t="shared" si="406"/>
        <v>1.5498583501579772</v>
      </c>
      <c r="AY459" t="str">
        <f t="shared" si="381"/>
        <v>1-0,000533044575686492i</v>
      </c>
      <c r="AZ459">
        <f t="shared" si="407"/>
        <v>1.0000001420682498</v>
      </c>
      <c r="BA459">
        <f t="shared" si="408"/>
        <v>-5.3304452520069033E-4</v>
      </c>
      <c r="BB459" s="58" t="str">
        <f t="shared" si="409"/>
        <v>-0,00045200312063014+0,0221485856565919i</v>
      </c>
      <c r="BC459">
        <f t="shared" si="410"/>
        <v>-33.09127166697791</v>
      </c>
      <c r="BD459" s="60">
        <f t="shared" si="411"/>
        <v>91.169116491252439</v>
      </c>
      <c r="BE459" s="58" t="str">
        <f t="shared" si="412"/>
        <v>-0,000400256330340531-0,00480006893430722i</v>
      </c>
      <c r="BF459" s="37">
        <f t="shared" si="413"/>
        <v>-46.344957873235877</v>
      </c>
      <c r="BG459" s="60">
        <f t="shared" si="414"/>
        <v>-94.766612154457889</v>
      </c>
      <c r="BH459" s="58" t="str">
        <f t="shared" si="415"/>
        <v>0,0853414145835256+0,0259725279110896i</v>
      </c>
      <c r="BI459" s="37">
        <f t="shared" si="416"/>
        <v>-20.992108412105651</v>
      </c>
      <c r="BJ459" s="60">
        <f t="shared" si="417"/>
        <v>16.92693173029712</v>
      </c>
      <c r="BK459">
        <f t="shared" si="418"/>
        <v>-46.344957873235877</v>
      </c>
      <c r="BL459" s="60">
        <f t="shared" si="419"/>
        <v>-94.766612154457889</v>
      </c>
      <c r="BN459">
        <f t="shared" si="420"/>
        <v>0</v>
      </c>
      <c r="BO459">
        <f t="shared" si="421"/>
        <v>0</v>
      </c>
    </row>
    <row r="460" spans="13:67" x14ac:dyDescent="0.25">
      <c r="M460" s="66">
        <v>42</v>
      </c>
      <c r="N460" s="36">
        <f t="shared" si="422"/>
        <v>263026.79918953858</v>
      </c>
      <c r="O460" s="91" t="str">
        <f t="shared" si="370"/>
        <v>13,7404580152672</v>
      </c>
      <c r="P460" s="67" t="str">
        <f t="shared" si="371"/>
        <v>1+1784,85780966715i</v>
      </c>
      <c r="Q460" s="67">
        <f t="shared" si="382"/>
        <v>1784.8580898014877</v>
      </c>
      <c r="R460" s="67">
        <f t="shared" si="383"/>
        <v>1.570236058133746</v>
      </c>
      <c r="S460" s="67" t="str">
        <f t="shared" si="372"/>
        <v>1+49,5793836018655i</v>
      </c>
      <c r="T460" s="67">
        <f t="shared" si="384"/>
        <v>49.589467413362385</v>
      </c>
      <c r="U460" s="67">
        <f t="shared" si="385"/>
        <v>1.5506293873292756</v>
      </c>
      <c r="V460" t="str">
        <f t="shared" si="373"/>
        <v>1-10,3290382503886i</v>
      </c>
      <c r="W460" s="67">
        <f t="shared" si="386"/>
        <v>10.377332565644737</v>
      </c>
      <c r="X460" s="67">
        <f t="shared" si="387"/>
        <v>-1.4742826839098917</v>
      </c>
      <c r="Y460" t="str">
        <f t="shared" si="374"/>
        <v>-3,42771821388119+17,9225897295293i</v>
      </c>
      <c r="Z460" s="67">
        <f t="shared" si="388"/>
        <v>18.247423784381237</v>
      </c>
      <c r="AA460" s="67">
        <f t="shared" si="389"/>
        <v>1.7597656776376289</v>
      </c>
      <c r="AB460" s="92" t="str">
        <f t="shared" si="390"/>
        <v>-0,215743878234179+0,0242784869423525i</v>
      </c>
      <c r="AC460" s="37">
        <f t="shared" si="391"/>
        <v>-13.266577239419552</v>
      </c>
      <c r="AD460" s="60">
        <f t="shared" si="392"/>
        <v>173.5792986547296</v>
      </c>
      <c r="AE460" t="str">
        <f t="shared" si="393"/>
        <v>21,0353732052265</v>
      </c>
      <c r="AF460" t="str">
        <f t="shared" si="375"/>
        <v>1+892,428904833578i</v>
      </c>
      <c r="AG460">
        <f t="shared" si="394"/>
        <v>892.42946510212187</v>
      </c>
      <c r="AH460">
        <f t="shared" si="395"/>
        <v>1.569675789824333</v>
      </c>
      <c r="AI460" t="str">
        <f t="shared" si="376"/>
        <v>1+49,5793836018655i</v>
      </c>
      <c r="AJ460">
        <f t="shared" si="396"/>
        <v>49.589467413362385</v>
      </c>
      <c r="AK460">
        <f t="shared" si="397"/>
        <v>1.5506293873292756</v>
      </c>
      <c r="AL460" t="str">
        <f t="shared" si="377"/>
        <v>1-3,3734497662856i</v>
      </c>
      <c r="AM460">
        <f t="shared" si="398"/>
        <v>3.5185456264843813</v>
      </c>
      <c r="AN460">
        <f t="shared" si="399"/>
        <v>-1.2826157134527241</v>
      </c>
      <c r="AO460" s="58" t="str">
        <f t="shared" si="400"/>
        <v>1,09355907637512-3,96466637283841i</v>
      </c>
      <c r="AP460">
        <f t="shared" si="401"/>
        <v>12.282579037293091</v>
      </c>
      <c r="AQ460" s="60">
        <f t="shared" si="402"/>
        <v>-74.579745595876233</v>
      </c>
      <c r="AR460" t="str">
        <f t="shared" si="378"/>
        <v>-1,05811623246493</v>
      </c>
      <c r="AS460" t="str">
        <f t="shared" si="379"/>
        <v>1+48,8654404779986i</v>
      </c>
      <c r="AT460">
        <f t="shared" si="403"/>
        <v>48.875671587292011</v>
      </c>
      <c r="AU460">
        <f t="shared" si="404"/>
        <v>1.5503348221282121</v>
      </c>
      <c r="AV460" t="str">
        <f t="shared" si="380"/>
        <v>1+48,8654404779986i</v>
      </c>
      <c r="AW460">
        <f t="shared" si="405"/>
        <v>48.875671587292011</v>
      </c>
      <c r="AX460">
        <f t="shared" si="406"/>
        <v>1.5503348221282121</v>
      </c>
      <c r="AY460" t="str">
        <f t="shared" si="381"/>
        <v>1-0,000520910999789437i</v>
      </c>
      <c r="AZ460">
        <f t="shared" si="407"/>
        <v>1.0000001356741257</v>
      </c>
      <c r="BA460">
        <f t="shared" si="408"/>
        <v>-5.2091095267334513E-4</v>
      </c>
      <c r="BB460" s="58" t="str">
        <f t="shared" si="409"/>
        <v>-0,000431668145145923+0,0216448384374229i</v>
      </c>
      <c r="BC460">
        <f t="shared" si="410"/>
        <v>-33.291186042683513</v>
      </c>
      <c r="BD460" s="60">
        <f t="shared" si="411"/>
        <v>91.142511860797939</v>
      </c>
      <c r="BE460" s="58" t="str">
        <f t="shared" si="412"/>
        <v>-0,000432374167628365-0,0046802216376672i</v>
      </c>
      <c r="BF460" s="37">
        <f t="shared" si="413"/>
        <v>-46.557763282103068</v>
      </c>
      <c r="BG460" s="60">
        <f t="shared" si="414"/>
        <v>-95.278189484472477</v>
      </c>
      <c r="BH460" s="58" t="str">
        <f t="shared" si="415"/>
        <v>0,0853425084802645+0,0253813297092025i</v>
      </c>
      <c r="BI460" s="37">
        <f t="shared" si="416"/>
        <v>-21.008607005390424</v>
      </c>
      <c r="BJ460" s="60">
        <f t="shared" si="417"/>
        <v>16.562766264921738</v>
      </c>
      <c r="BK460">
        <f t="shared" si="418"/>
        <v>-46.557763282103068</v>
      </c>
      <c r="BL460" s="60">
        <f t="shared" si="419"/>
        <v>-95.278189484472477</v>
      </c>
      <c r="BN460">
        <f t="shared" si="420"/>
        <v>0</v>
      </c>
      <c r="BO460">
        <f t="shared" si="421"/>
        <v>0</v>
      </c>
    </row>
    <row r="461" spans="13:67" x14ac:dyDescent="0.25">
      <c r="M461" s="66">
        <v>43</v>
      </c>
      <c r="N461" s="36">
        <f t="shared" si="422"/>
        <v>269153.48039269145</v>
      </c>
      <c r="O461" s="91" t="str">
        <f t="shared" si="370"/>
        <v>13,7404580152672</v>
      </c>
      <c r="P461" s="67" t="str">
        <f t="shared" si="371"/>
        <v>1+1826,43248884998i</v>
      </c>
      <c r="Q461" s="67">
        <f t="shared" si="382"/>
        <v>1826.4327626076829</v>
      </c>
      <c r="R461" s="67">
        <f t="shared" si="383"/>
        <v>1.5702488114029067</v>
      </c>
      <c r="S461" s="67" t="str">
        <f t="shared" si="372"/>
        <v>1+50,7342358013884i</v>
      </c>
      <c r="T461" s="67">
        <f t="shared" si="384"/>
        <v>50.744090122406185</v>
      </c>
      <c r="U461" s="67">
        <f t="shared" si="385"/>
        <v>1.5510883226754251</v>
      </c>
      <c r="V461" t="str">
        <f t="shared" si="373"/>
        <v>1-10,5696324586226i</v>
      </c>
      <c r="W461" s="67">
        <f t="shared" si="386"/>
        <v>10.616832404741462</v>
      </c>
      <c r="X461" s="67">
        <f t="shared" si="387"/>
        <v>-1.4764664434585921</v>
      </c>
      <c r="Y461" t="str">
        <f t="shared" si="374"/>
        <v>-3,63639014447995+18,3400604737504i</v>
      </c>
      <c r="Z461" s="67">
        <f t="shared" si="388"/>
        <v>18.697089384813154</v>
      </c>
      <c r="AA461" s="67">
        <f t="shared" si="389"/>
        <v>1.7665334527068315</v>
      </c>
      <c r="AB461" s="92" t="str">
        <f t="shared" si="390"/>
        <v>-0,215198724292745+0,0260724794443978i</v>
      </c>
      <c r="AC461" s="37">
        <f t="shared" si="391"/>
        <v>-13.279921046573083</v>
      </c>
      <c r="AD461" s="60">
        <f t="shared" si="392"/>
        <v>173.09197785086437</v>
      </c>
      <c r="AE461" t="str">
        <f t="shared" si="393"/>
        <v>21,0353732052265</v>
      </c>
      <c r="AF461" t="str">
        <f t="shared" si="375"/>
        <v>1+913,21624442499i</v>
      </c>
      <c r="AG461">
        <f t="shared" si="394"/>
        <v>913.21679194027274</v>
      </c>
      <c r="AH461">
        <f t="shared" si="395"/>
        <v>1.5697012963391777</v>
      </c>
      <c r="AI461" t="str">
        <f t="shared" si="376"/>
        <v>1+50,7342358013884i</v>
      </c>
      <c r="AJ461">
        <f t="shared" si="396"/>
        <v>50.744090122406185</v>
      </c>
      <c r="AK461">
        <f t="shared" si="397"/>
        <v>1.5510883226754251</v>
      </c>
      <c r="AL461" t="str">
        <f t="shared" si="377"/>
        <v>1-3,45202750565121i</v>
      </c>
      <c r="AM461">
        <f t="shared" si="398"/>
        <v>3.5939524064423161</v>
      </c>
      <c r="AN461">
        <f t="shared" si="399"/>
        <v>-1.2888296500328222</v>
      </c>
      <c r="AO461" s="58" t="str">
        <f t="shared" si="400"/>
        <v>1,09355794943472-4,05598617578003i</v>
      </c>
      <c r="AP461">
        <f t="shared" si="401"/>
        <v>12.466682486336719</v>
      </c>
      <c r="AQ461" s="60">
        <f t="shared" si="402"/>
        <v>-74.910944293324803</v>
      </c>
      <c r="AR461" t="str">
        <f t="shared" si="378"/>
        <v>-1,05811623246493</v>
      </c>
      <c r="AS461" t="str">
        <f t="shared" si="379"/>
        <v>1+50,0036628058483i</v>
      </c>
      <c r="AT461">
        <f t="shared" si="403"/>
        <v>50.013661073760403</v>
      </c>
      <c r="AU461">
        <f t="shared" si="404"/>
        <v>1.5508004572510352</v>
      </c>
      <c r="AV461" t="str">
        <f t="shared" si="380"/>
        <v>1+50,0036628058483i</v>
      </c>
      <c r="AW461">
        <f t="shared" si="405"/>
        <v>50.013661073760403</v>
      </c>
      <c r="AX461">
        <f t="shared" si="406"/>
        <v>1.5508004572510352</v>
      </c>
      <c r="AY461" t="str">
        <f t="shared" si="381"/>
        <v>1-0,000509053617799541i</v>
      </c>
      <c r="AZ461">
        <f t="shared" si="407"/>
        <v>1.0000001295677845</v>
      </c>
      <c r="BA461">
        <f t="shared" si="408"/>
        <v>-5.0905357382824532E-4</v>
      </c>
      <c r="BB461" s="58" t="str">
        <f t="shared" si="409"/>
        <v>-0,000412247645297909+0,0211525301441703i</v>
      </c>
      <c r="BC461">
        <f t="shared" si="410"/>
        <v>-33.491104270539239</v>
      </c>
      <c r="BD461" s="60">
        <f t="shared" si="411"/>
        <v>91.11651231123102</v>
      </c>
      <c r="BE461" s="58" t="str">
        <f t="shared" si="412"/>
        <v>-0,000462783740020087-0,00456274582084731i</v>
      </c>
      <c r="BF461" s="37">
        <f t="shared" si="413"/>
        <v>-46.771025317112333</v>
      </c>
      <c r="BG461" s="60">
        <f t="shared" si="414"/>
        <v>-95.791509837904613</v>
      </c>
      <c r="BH461" s="58" t="str">
        <f t="shared" si="415"/>
        <v>0,0853435531578738+0,0248035882401412i</v>
      </c>
      <c r="BI461" s="37">
        <f t="shared" si="416"/>
        <v>-21.024421784202524</v>
      </c>
      <c r="BJ461" s="60">
        <f t="shared" si="417"/>
        <v>16.205568017906259</v>
      </c>
      <c r="BK461">
        <f t="shared" si="418"/>
        <v>-46.771025317112333</v>
      </c>
      <c r="BL461" s="60">
        <f t="shared" si="419"/>
        <v>-95.791509837904613</v>
      </c>
      <c r="BN461">
        <f t="shared" si="420"/>
        <v>0</v>
      </c>
      <c r="BO461">
        <f t="shared" si="421"/>
        <v>0</v>
      </c>
    </row>
    <row r="462" spans="13:67" x14ac:dyDescent="0.25">
      <c r="M462" s="66">
        <v>44</v>
      </c>
      <c r="N462" s="36">
        <f t="shared" si="422"/>
        <v>275422.87033381703</v>
      </c>
      <c r="O462" s="91" t="str">
        <f t="shared" si="370"/>
        <v>13,7404580152672</v>
      </c>
      <c r="P462" s="67" t="str">
        <f t="shared" si="371"/>
        <v>1+1868,97556671408i</v>
      </c>
      <c r="Q462" s="67">
        <f t="shared" si="382"/>
        <v>1868.9758342402977</v>
      </c>
      <c r="R462" s="67">
        <f t="shared" si="383"/>
        <v>1.5702612743723916</v>
      </c>
      <c r="S462" s="67" t="str">
        <f t="shared" si="372"/>
        <v>1+51,9159879642802i</v>
      </c>
      <c r="T462" s="67">
        <f t="shared" si="384"/>
        <v>51.925618015650876</v>
      </c>
      <c r="U462" s="67">
        <f t="shared" si="385"/>
        <v>1.5515368194008488</v>
      </c>
      <c r="V462" t="str">
        <f t="shared" si="373"/>
        <v>1-10,8158308258917i</v>
      </c>
      <c r="W462" s="67">
        <f t="shared" si="386"/>
        <v>10.861960985674232</v>
      </c>
      <c r="X462" s="67">
        <f t="shared" si="387"/>
        <v>-1.4786013668622158</v>
      </c>
      <c r="Y462" t="str">
        <f t="shared" si="374"/>
        <v>-3,85489648018682+18,767255360794i</v>
      </c>
      <c r="Z462" s="67">
        <f t="shared" si="388"/>
        <v>19.159073585385276</v>
      </c>
      <c r="AA462" s="67">
        <f t="shared" si="389"/>
        <v>1.7733839880921447</v>
      </c>
      <c r="AB462" s="92" t="str">
        <f t="shared" si="390"/>
        <v>-0,214626188631975+0,0278669544335029i</v>
      </c>
      <c r="AC462" s="37">
        <f t="shared" si="391"/>
        <v>-13.293741385566511</v>
      </c>
      <c r="AD462" s="60">
        <f t="shared" si="392"/>
        <v>172.60213187921005</v>
      </c>
      <c r="AE462" t="str">
        <f t="shared" si="393"/>
        <v>21,0353732052265</v>
      </c>
      <c r="AF462" t="str">
        <f t="shared" si="375"/>
        <v>1+934,487783357043i</v>
      </c>
      <c r="AG462">
        <f t="shared" si="394"/>
        <v>934.48831840936339</v>
      </c>
      <c r="AH462">
        <f t="shared" si="395"/>
        <v>1.5697262222562374</v>
      </c>
      <c r="AI462" t="str">
        <f t="shared" si="376"/>
        <v>1+51,9159879642802i</v>
      </c>
      <c r="AJ462">
        <f t="shared" si="396"/>
        <v>51.925618015650876</v>
      </c>
      <c r="AK462">
        <f t="shared" si="397"/>
        <v>1.5515368194008488</v>
      </c>
      <c r="AL462" t="str">
        <f t="shared" si="377"/>
        <v>1-3,5324355556933i</v>
      </c>
      <c r="AM462">
        <f t="shared" si="398"/>
        <v>3.671253322113067</v>
      </c>
      <c r="AN462">
        <f t="shared" si="399"/>
        <v>-1.2949238337767874</v>
      </c>
      <c r="AO462" s="58" t="str">
        <f t="shared" si="400"/>
        <v>1,09355687321488-4,14945651616826i</v>
      </c>
      <c r="AP462">
        <f t="shared" si="401"/>
        <v>12.6514474290252</v>
      </c>
      <c r="AQ462" s="60">
        <f t="shared" si="402"/>
        <v>-75.235846481787021</v>
      </c>
      <c r="AR462" t="str">
        <f t="shared" si="378"/>
        <v>-1,05811623246493</v>
      </c>
      <c r="AS462" t="str">
        <f t="shared" si="379"/>
        <v>1+51,1683977375945i</v>
      </c>
      <c r="AT462">
        <f t="shared" si="403"/>
        <v>51.178168461099375</v>
      </c>
      <c r="AU462">
        <f t="shared" si="404"/>
        <v>1.551255501604232</v>
      </c>
      <c r="AV462" t="str">
        <f t="shared" si="380"/>
        <v>1+51,1683977375945i</v>
      </c>
      <c r="AW462">
        <f t="shared" si="405"/>
        <v>51.178168461099375</v>
      </c>
      <c r="AX462">
        <f t="shared" si="406"/>
        <v>1.551255501604232</v>
      </c>
      <c r="AY462" t="str">
        <f t="shared" si="381"/>
        <v>1-0,000497466142775924i</v>
      </c>
      <c r="AZ462">
        <f t="shared" si="407"/>
        <v>1.0000001237362739</v>
      </c>
      <c r="BA462">
        <f t="shared" si="408"/>
        <v>-4.9746610173952296E-4</v>
      </c>
      <c r="BB462" s="58" t="str">
        <f t="shared" si="409"/>
        <v>-0,000393700528769889+0,0206714022463719i</v>
      </c>
      <c r="BC462">
        <f t="shared" si="410"/>
        <v>-33.691026177308558</v>
      </c>
      <c r="BD462" s="60">
        <f t="shared" si="411"/>
        <v>91.091104103547494</v>
      </c>
      <c r="BE462" s="58" t="str">
        <f t="shared" si="412"/>
        <v>-0,000491550580523981-0,00444759551251292i</v>
      </c>
      <c r="BF462" s="37">
        <f t="shared" si="413"/>
        <v>-46.984767562875085</v>
      </c>
      <c r="BG462" s="60">
        <f t="shared" si="414"/>
        <v>-96.306764017242457</v>
      </c>
      <c r="BH462" s="58" t="str">
        <f t="shared" si="415"/>
        <v>0,0853445508303184+0,0242389972300326i</v>
      </c>
      <c r="BI462" s="37">
        <f t="shared" si="416"/>
        <v>-21.039578748283368</v>
      </c>
      <c r="BJ462" s="60">
        <f t="shared" si="417"/>
        <v>15.855257621760497</v>
      </c>
      <c r="BK462">
        <f t="shared" si="418"/>
        <v>-46.984767562875085</v>
      </c>
      <c r="BL462" s="60">
        <f t="shared" si="419"/>
        <v>-96.306764017242457</v>
      </c>
      <c r="BN462">
        <f t="shared" si="420"/>
        <v>0</v>
      </c>
      <c r="BO462">
        <f t="shared" si="421"/>
        <v>0</v>
      </c>
    </row>
    <row r="463" spans="13:67" x14ac:dyDescent="0.25">
      <c r="M463" s="66">
        <v>45</v>
      </c>
      <c r="N463" s="36">
        <f t="shared" si="422"/>
        <v>281838.29312644573</v>
      </c>
      <c r="O463" s="91" t="str">
        <f t="shared" si="370"/>
        <v>13,7404580152672</v>
      </c>
      <c r="P463" s="67" t="str">
        <f t="shared" si="371"/>
        <v>1+1912,50960016247i</v>
      </c>
      <c r="Q463" s="67">
        <f t="shared" si="382"/>
        <v>1912.5098615990482</v>
      </c>
      <c r="R463" s="67">
        <f t="shared" si="383"/>
        <v>1.5702734536502165</v>
      </c>
      <c r="S463" s="67" t="str">
        <f t="shared" si="372"/>
        <v>1+53,1252666711799i</v>
      </c>
      <c r="T463" s="67">
        <f t="shared" si="384"/>
        <v>53.134677555095578</v>
      </c>
      <c r="U463" s="67">
        <f t="shared" si="385"/>
        <v>1.5519751145823142</v>
      </c>
      <c r="V463" t="str">
        <f t="shared" si="373"/>
        <v>1-11,0677638898291i</v>
      </c>
      <c r="W463" s="67">
        <f t="shared" si="386"/>
        <v>11.112848308197362</v>
      </c>
      <c r="X463" s="67">
        <f t="shared" si="387"/>
        <v>-1.4806885081963599</v>
      </c>
      <c r="Y463" t="str">
        <f t="shared" si="374"/>
        <v>-4,08370070223544+19,204400895044i</v>
      </c>
      <c r="Z463" s="67">
        <f t="shared" si="388"/>
        <v>19.633787845522956</v>
      </c>
      <c r="AA463" s="67">
        <f t="shared" si="389"/>
        <v>1.7803194980572801</v>
      </c>
      <c r="AB463" s="92" t="str">
        <f t="shared" si="390"/>
        <v>-0,214025526518152+0,0296619967496191i</v>
      </c>
      <c r="AC463" s="37">
        <f t="shared" si="391"/>
        <v>-13.308062640028822</v>
      </c>
      <c r="AD463" s="60">
        <f t="shared" si="392"/>
        <v>172.10958668260508</v>
      </c>
      <c r="AE463" t="str">
        <f t="shared" si="393"/>
        <v>21,0353732052265</v>
      </c>
      <c r="AF463" t="str">
        <f t="shared" si="375"/>
        <v>1+956,254800081237i</v>
      </c>
      <c r="AG463">
        <f t="shared" si="394"/>
        <v>956.25532295428638</v>
      </c>
      <c r="AH463">
        <f t="shared" si="395"/>
        <v>1.5697505807914394</v>
      </c>
      <c r="AI463" t="str">
        <f t="shared" si="376"/>
        <v>1+53,1252666711799i</v>
      </c>
      <c r="AJ463">
        <f t="shared" si="396"/>
        <v>53.134677555095578</v>
      </c>
      <c r="AK463">
        <f t="shared" si="397"/>
        <v>1.5519751145823142</v>
      </c>
      <c r="AL463" t="str">
        <f t="shared" si="377"/>
        <v>1-3,61471654982433i</v>
      </c>
      <c r="AM463">
        <f t="shared" si="398"/>
        <v>3.7504900660545566</v>
      </c>
      <c r="AN463">
        <f t="shared" si="399"/>
        <v>-1.3008996845389542</v>
      </c>
      <c r="AO463" s="58" t="str">
        <f t="shared" si="400"/>
        <v>1,0935558454328-4,24512695322222i</v>
      </c>
      <c r="AP463">
        <f t="shared" si="401"/>
        <v>12.836848496919144</v>
      </c>
      <c r="AQ463" s="60">
        <f t="shared" si="402"/>
        <v>-75.554520686642519</v>
      </c>
      <c r="AR463" t="str">
        <f t="shared" si="378"/>
        <v>-1,05811623246493</v>
      </c>
      <c r="AS463" t="str">
        <f t="shared" si="379"/>
        <v>1+52,3602628311148i</v>
      </c>
      <c r="AT463">
        <f t="shared" si="403"/>
        <v>52.369811186822339</v>
      </c>
      <c r="AU463">
        <f t="shared" si="404"/>
        <v>1.5517001957041177</v>
      </c>
      <c r="AV463" t="str">
        <f t="shared" si="380"/>
        <v>1+52,3602628311148i</v>
      </c>
      <c r="AW463">
        <f t="shared" si="405"/>
        <v>52.369811186822339</v>
      </c>
      <c r="AX463">
        <f t="shared" si="406"/>
        <v>1.5517001957041177</v>
      </c>
      <c r="AY463" t="str">
        <f t="shared" si="381"/>
        <v>1-0,000486142430885951i</v>
      </c>
      <c r="AZ463">
        <f t="shared" si="407"/>
        <v>1.0000001181672247</v>
      </c>
      <c r="BA463">
        <f t="shared" si="408"/>
        <v>-4.8614239258855298E-4</v>
      </c>
      <c r="BB463" s="58" t="str">
        <f t="shared" si="409"/>
        <v>-0,000375987546913919+0,0202012019750493i</v>
      </c>
      <c r="BC463">
        <f t="shared" si="410"/>
        <v>-33.89095159753964</v>
      </c>
      <c r="BD463" s="60">
        <f t="shared" si="411"/>
        <v>91.066273809192467</v>
      </c>
      <c r="BE463" s="58" t="str">
        <f t="shared" si="412"/>
        <v>-0,000518737054629791-0,00433472543040392i</v>
      </c>
      <c r="BF463" s="37">
        <f t="shared" si="413"/>
        <v>-47.199014237568456</v>
      </c>
      <c r="BG463" s="60">
        <f t="shared" si="414"/>
        <v>-96.824139508202421</v>
      </c>
      <c r="BH463" s="58" t="str">
        <f t="shared" si="415"/>
        <v>0,0853455036120301+0,023687257374064i</v>
      </c>
      <c r="BI463" s="37">
        <f t="shared" si="416"/>
        <v>-21.054103100620495</v>
      </c>
      <c r="BJ463" s="60">
        <f t="shared" si="417"/>
        <v>15.511753122549965</v>
      </c>
      <c r="BK463">
        <f t="shared" si="418"/>
        <v>-47.199014237568456</v>
      </c>
      <c r="BL463" s="60">
        <f t="shared" si="419"/>
        <v>-96.824139508202421</v>
      </c>
      <c r="BN463">
        <f t="shared" si="420"/>
        <v>0</v>
      </c>
      <c r="BO463">
        <f t="shared" si="421"/>
        <v>0</v>
      </c>
    </row>
    <row r="464" spans="13:67" x14ac:dyDescent="0.25">
      <c r="M464" s="66">
        <v>46</v>
      </c>
      <c r="N464" s="36">
        <f t="shared" si="422"/>
        <v>288403.1503126609</v>
      </c>
      <c r="O464" s="91" t="str">
        <f t="shared" si="370"/>
        <v>13,7404580152672</v>
      </c>
      <c r="P464" s="67" t="str">
        <f t="shared" si="371"/>
        <v>1+1957,05767151593i</v>
      </c>
      <c r="Q464" s="67">
        <f t="shared" si="382"/>
        <v>1957.0579270014862</v>
      </c>
      <c r="R464" s="67">
        <f t="shared" si="383"/>
        <v>1.5702853556939811</v>
      </c>
      <c r="S464" s="67" t="str">
        <f t="shared" si="372"/>
        <v>1+54,3627130976647i</v>
      </c>
      <c r="T464" s="67">
        <f t="shared" si="384"/>
        <v>54.371909800364797</v>
      </c>
      <c r="U464" s="67">
        <f t="shared" si="385"/>
        <v>1.5524034399357607</v>
      </c>
      <c r="V464" t="str">
        <f t="shared" si="373"/>
        <v>1-11,3255652286801i</v>
      </c>
      <c r="W464" s="67">
        <f t="shared" si="386"/>
        <v>11.369627423494919</v>
      </c>
      <c r="X464" s="67">
        <f t="shared" si="387"/>
        <v>-1.4827289013154312</v>
      </c>
      <c r="Y464" t="str">
        <f t="shared" si="374"/>
        <v>-4,32328813505713+19,6517288568487i</v>
      </c>
      <c r="Z464" s="67">
        <f t="shared" si="388"/>
        <v>20.121661645148134</v>
      </c>
      <c r="AA464" s="67">
        <f t="shared" si="389"/>
        <v>1.7873421560096456</v>
      </c>
      <c r="AB464" s="92" t="str">
        <f t="shared" si="390"/>
        <v>-0,213395973145401+0,0314576459195778i</v>
      </c>
      <c r="AC464" s="37">
        <f t="shared" si="391"/>
        <v>-13.322909837462653</v>
      </c>
      <c r="AD464" s="60">
        <f t="shared" si="392"/>
        <v>171.61417140483593</v>
      </c>
      <c r="AE464" t="str">
        <f t="shared" si="393"/>
        <v>21,0353732052265</v>
      </c>
      <c r="AF464" t="str">
        <f t="shared" si="375"/>
        <v>1+978,528835757964i</v>
      </c>
      <c r="AG464">
        <f t="shared" si="394"/>
        <v>978.52934672897595</v>
      </c>
      <c r="AH464">
        <f t="shared" si="395"/>
        <v>1.569774384859886</v>
      </c>
      <c r="AI464" t="str">
        <f t="shared" si="376"/>
        <v>1+54,3627130976647i</v>
      </c>
      <c r="AJ464">
        <f t="shared" si="396"/>
        <v>54.371909800364797</v>
      </c>
      <c r="AK464">
        <f t="shared" si="397"/>
        <v>1.5524034399357607</v>
      </c>
      <c r="AL464" t="str">
        <f t="shared" si="377"/>
        <v>1-3,6989141145165i</v>
      </c>
      <c r="AM464">
        <f t="shared" si="398"/>
        <v>3.8317053157268477</v>
      </c>
      <c r="AN464">
        <f t="shared" si="399"/>
        <v>-1.3067586628998265</v>
      </c>
      <c r="AO464" s="58" t="str">
        <f t="shared" si="400"/>
        <v>1,09355486390844-4,34304821268089i</v>
      </c>
      <c r="AP464">
        <f t="shared" si="401"/>
        <v>13.022861117290089</v>
      </c>
      <c r="AQ464" s="60">
        <f t="shared" si="402"/>
        <v>-75.867038056625191</v>
      </c>
      <c r="AR464" t="str">
        <f t="shared" si="378"/>
        <v>-1,05811623246493</v>
      </c>
      <c r="AS464" t="str">
        <f t="shared" si="379"/>
        <v>1+53,5798900290583i</v>
      </c>
      <c r="AT464">
        <f t="shared" si="403"/>
        <v>53.589221075940081</v>
      </c>
      <c r="AU464">
        <f t="shared" si="404"/>
        <v>1.5521347746294709</v>
      </c>
      <c r="AV464" t="str">
        <f t="shared" si="380"/>
        <v>1+53,5798900290583i</v>
      </c>
      <c r="AW464">
        <f t="shared" si="405"/>
        <v>53.589221075940081</v>
      </c>
      <c r="AX464">
        <f t="shared" si="406"/>
        <v>1.5521347746294709</v>
      </c>
      <c r="AY464" t="str">
        <f t="shared" si="381"/>
        <v>1-0,000475076478147689i</v>
      </c>
      <c r="AZ464">
        <f t="shared" si="407"/>
        <v>1.0000001128488236</v>
      </c>
      <c r="BA464">
        <f t="shared" si="408"/>
        <v>-4.7507644240647734E-4</v>
      </c>
      <c r="BB464" s="58" t="str">
        <f t="shared" si="409"/>
        <v>-0,000359071212280434+0,0197416821997766i</v>
      </c>
      <c r="BC464">
        <f t="shared" si="410"/>
        <v>-34.090880373216152</v>
      </c>
      <c r="BD464" s="60">
        <f t="shared" si="411"/>
        <v>91.042008303146133</v>
      </c>
      <c r="BE464" s="58" t="str">
        <f t="shared" si="412"/>
        <v>-0,000544402497724322-0,0042240910196044i</v>
      </c>
      <c r="BF464" s="37">
        <f t="shared" si="413"/>
        <v>-47.413790210678812</v>
      </c>
      <c r="BG464" s="60">
        <f t="shared" si="414"/>
        <v>-97.343820292017924</v>
      </c>
      <c r="BH464" s="58" t="str">
        <f t="shared" si="415"/>
        <v>0,0853464135223751+0,0231480761780201i</v>
      </c>
      <c r="BI464" s="37">
        <f t="shared" si="416"/>
        <v>-21.068019255926064</v>
      </c>
      <c r="BJ464" s="60">
        <f t="shared" si="417"/>
        <v>15.174970246520973</v>
      </c>
      <c r="BK464">
        <f t="shared" si="418"/>
        <v>-47.413790210678812</v>
      </c>
      <c r="BL464" s="60">
        <f t="shared" si="419"/>
        <v>-97.343820292017924</v>
      </c>
      <c r="BN464">
        <f t="shared" si="420"/>
        <v>0</v>
      </c>
      <c r="BO464">
        <f t="shared" si="421"/>
        <v>0</v>
      </c>
    </row>
    <row r="465" spans="13:67" x14ac:dyDescent="0.25">
      <c r="M465" s="66">
        <v>47</v>
      </c>
      <c r="N465" s="36">
        <f t="shared" si="422"/>
        <v>295120.92266663886</v>
      </c>
      <c r="O465" s="91" t="str">
        <f t="shared" si="370"/>
        <v>13,7404580152672</v>
      </c>
      <c r="P465" s="67" t="str">
        <f t="shared" si="371"/>
        <v>1+2002,64340075153i</v>
      </c>
      <c r="Q465" s="67">
        <f t="shared" si="382"/>
        <v>2002.6436504215253</v>
      </c>
      <c r="R465" s="67">
        <f t="shared" si="383"/>
        <v>1.5702969868142933</v>
      </c>
      <c r="S465" s="67" t="str">
        <f t="shared" si="372"/>
        <v>1+55,6289833542094i</v>
      </c>
      <c r="T465" s="67">
        <f t="shared" si="384"/>
        <v>55.637970748607522</v>
      </c>
      <c r="U465" s="67">
        <f t="shared" si="385"/>
        <v>1.5528220219359463</v>
      </c>
      <c r="V465" t="str">
        <f t="shared" si="373"/>
        <v>1-11,5893715321269i</v>
      </c>
      <c r="W465" s="67">
        <f t="shared" si="386"/>
        <v>11.632434504852087</v>
      </c>
      <c r="X465" s="67">
        <f t="shared" si="387"/>
        <v>-1.4847235600686592</v>
      </c>
      <c r="Y465" t="str">
        <f t="shared" si="374"/>
        <v>-4,57416697571894+20,1094764254148i</v>
      </c>
      <c r="Z465" s="67">
        <f t="shared" si="388"/>
        <v>20.62314344677046</v>
      </c>
      <c r="AA465" s="67">
        <f t="shared" si="389"/>
        <v>1.7944540908088378</v>
      </c>
      <c r="AB465" s="92" t="str">
        <f t="shared" si="390"/>
        <v>-0,212736745000443+0,0332538941622435i</v>
      </c>
      <c r="AC465" s="37">
        <f t="shared" si="391"/>
        <v>-13.338308666239154</v>
      </c>
      <c r="AD465" s="60">
        <f t="shared" si="392"/>
        <v>171.11571859642703</v>
      </c>
      <c r="AE465" t="str">
        <f t="shared" si="393"/>
        <v>21,0353732052265</v>
      </c>
      <c r="AF465" t="str">
        <f t="shared" si="375"/>
        <v>1+1001,32170037577i</v>
      </c>
      <c r="AG465">
        <f t="shared" si="394"/>
        <v>1001.3221997156677</v>
      </c>
      <c r="AH465">
        <f t="shared" si="395"/>
        <v>1.5697976470827013</v>
      </c>
      <c r="AI465" t="str">
        <f t="shared" si="376"/>
        <v>1+55,6289833542094i</v>
      </c>
      <c r="AJ465">
        <f t="shared" si="396"/>
        <v>55.637970748607522</v>
      </c>
      <c r="AK465">
        <f t="shared" si="397"/>
        <v>1.5528220219359463</v>
      </c>
      <c r="AL465" t="str">
        <f t="shared" si="377"/>
        <v>1-3,7850728924331i</v>
      </c>
      <c r="AM465">
        <f t="shared" si="398"/>
        <v>3.9149427583340057</v>
      </c>
      <c r="AN465">
        <f t="shared" si="399"/>
        <v>-1.3125022657206717</v>
      </c>
      <c r="AO465" s="58" t="str">
        <f t="shared" si="400"/>
        <v>1,09355392655985-4,44327221369865i</v>
      </c>
      <c r="AP465">
        <f t="shared" si="401"/>
        <v>13.209461502899044</v>
      </c>
      <c r="AQ465" s="60">
        <f t="shared" si="402"/>
        <v>-76.173472102657811</v>
      </c>
      <c r="AR465" t="str">
        <f t="shared" si="378"/>
        <v>-1,05811623246493</v>
      </c>
      <c r="AS465" t="str">
        <f t="shared" si="379"/>
        <v>1+54,8279259939087i</v>
      </c>
      <c r="AT465">
        <f t="shared" si="403"/>
        <v>54.837044675962709</v>
      </c>
      <c r="AU465">
        <f t="shared" si="404"/>
        <v>1.5525594681428208</v>
      </c>
      <c r="AV465" t="str">
        <f t="shared" si="380"/>
        <v>1+54,8279259939087i</v>
      </c>
      <c r="AW465">
        <f t="shared" si="405"/>
        <v>54.837044675962709</v>
      </c>
      <c r="AX465">
        <f t="shared" si="406"/>
        <v>1.5525594681428208</v>
      </c>
      <c r="AY465" t="str">
        <f t="shared" si="381"/>
        <v>1-0,000464262417246522i</v>
      </c>
      <c r="AZ465">
        <f t="shared" si="407"/>
        <v>1.0000001077697902</v>
      </c>
      <c r="BA465">
        <f t="shared" si="408"/>
        <v>-4.6426238389088231E-4</v>
      </c>
      <c r="BB465" s="58" t="str">
        <f t="shared" si="409"/>
        <v>-0,00034291571981546+0,0192926013080019i</v>
      </c>
      <c r="BC465">
        <f t="shared" si="410"/>
        <v>-34.290812353423384</v>
      </c>
      <c r="BD465" s="60">
        <f t="shared" si="411"/>
        <v>91.018294757156951</v>
      </c>
      <c r="BE465" s="58" t="str">
        <f t="shared" si="412"/>
        <v>-0,000568603347967631-0,00411564848790893i</v>
      </c>
      <c r="BF465" s="37">
        <f t="shared" si="413"/>
        <v>-47.629121019662534</v>
      </c>
      <c r="BG465" s="60">
        <f t="shared" si="414"/>
        <v>-97.86598664641599</v>
      </c>
      <c r="BH465" s="58" t="str">
        <f t="shared" si="415"/>
        <v>0,0853472824899278+0,0226211678034157i</v>
      </c>
      <c r="BI465" s="37">
        <f t="shared" si="416"/>
        <v>-21.081350850524334</v>
      </c>
      <c r="BJ465" s="60">
        <f t="shared" si="417"/>
        <v>14.844822654499152</v>
      </c>
      <c r="BK465">
        <f t="shared" si="418"/>
        <v>-47.629121019662534</v>
      </c>
      <c r="BL465" s="60">
        <f t="shared" si="419"/>
        <v>-97.86598664641599</v>
      </c>
      <c r="BN465">
        <f t="shared" si="420"/>
        <v>0</v>
      </c>
      <c r="BO465">
        <f t="shared" si="421"/>
        <v>0</v>
      </c>
    </row>
    <row r="466" spans="13:67" x14ac:dyDescent="0.25">
      <c r="M466" s="66">
        <v>48</v>
      </c>
      <c r="N466" s="36">
        <f t="shared" si="422"/>
        <v>301995.17204020242</v>
      </c>
      <c r="O466" s="91" t="str">
        <f t="shared" si="370"/>
        <v>13,7404580152672</v>
      </c>
      <c r="P466" s="67" t="str">
        <f t="shared" si="371"/>
        <v>1+2049,29095802634i</v>
      </c>
      <c r="Q466" s="67">
        <f t="shared" si="382"/>
        <v>2049.2912020131535</v>
      </c>
      <c r="R466" s="67">
        <f t="shared" si="383"/>
        <v>1.5703083531781143</v>
      </c>
      <c r="S466" s="67" t="str">
        <f t="shared" si="372"/>
        <v>1+56,9247488340652i</v>
      </c>
      <c r="T466" s="67">
        <f t="shared" si="384"/>
        <v>56.933531682317124</v>
      </c>
      <c r="U466" s="67">
        <f t="shared" si="385"/>
        <v>1.5532310819335302</v>
      </c>
      <c r="V466" t="str">
        <f t="shared" si="373"/>
        <v>1-11,8593226737636i</v>
      </c>
      <c r="W466" s="67">
        <f t="shared" si="386"/>
        <v>11.901408919974283</v>
      </c>
      <c r="X466" s="67">
        <f t="shared" si="387"/>
        <v>-1.4866734785267</v>
      </c>
      <c r="Y466" t="str">
        <f t="shared" si="374"/>
        <v>-4,83686937187786+20,577886304562i</v>
      </c>
      <c r="Z466" s="67">
        <f t="shared" si="388"/>
        <v>21.138701712359023</v>
      </c>
      <c r="AA466" s="67">
        <f t="shared" si="389"/>
        <v>1.8016573828626887</v>
      </c>
      <c r="AB466" s="92" t="str">
        <f t="shared" si="390"/>
        <v>-0,212047041379393+0,0350506843685529i</v>
      </c>
      <c r="AC466" s="37">
        <f t="shared" si="391"/>
        <v>-13.354285491361932</v>
      </c>
      <c r="AD466" s="60">
        <f t="shared" si="392"/>
        <v>170.61406443185473</v>
      </c>
      <c r="AE466" t="str">
        <f t="shared" si="393"/>
        <v>21,0353732052265</v>
      </c>
      <c r="AF466" t="str">
        <f t="shared" si="375"/>
        <v>1+1024,64547901317i</v>
      </c>
      <c r="AG466">
        <f t="shared" si="394"/>
        <v>1024.6459669867093</v>
      </c>
      <c r="AH466">
        <f t="shared" si="395"/>
        <v>1.5698203797937229</v>
      </c>
      <c r="AI466" t="str">
        <f t="shared" si="376"/>
        <v>1+56,9247488340652i</v>
      </c>
      <c r="AJ466">
        <f t="shared" si="396"/>
        <v>56.933531682317124</v>
      </c>
      <c r="AK466">
        <f t="shared" si="397"/>
        <v>1.5532310819335302</v>
      </c>
      <c r="AL466" t="str">
        <f t="shared" si="377"/>
        <v>1-3,87323856609864i</v>
      </c>
      <c r="AM466">
        <f t="shared" si="398"/>
        <v>4.0002471161059354</v>
      </c>
      <c r="AN466">
        <f t="shared" si="399"/>
        <v>-1.3181320219106287</v>
      </c>
      <c r="AO466" s="58" t="str">
        <f t="shared" si="400"/>
        <v>1,09355303139883-4,54585209637351i</v>
      </c>
      <c r="AP466">
        <f t="shared" si="401"/>
        <v>13.396626640534858</v>
      </c>
      <c r="AQ466" s="60">
        <f t="shared" si="402"/>
        <v>-76.473898448999179</v>
      </c>
      <c r="AR466" t="str">
        <f t="shared" si="378"/>
        <v>-1,05811623246493</v>
      </c>
      <c r="AS466" t="str">
        <f t="shared" si="379"/>
        <v>1+56,1050324508546i</v>
      </c>
      <c r="AT466">
        <f t="shared" si="403"/>
        <v>56.113943599710112</v>
      </c>
      <c r="AU466">
        <f t="shared" si="404"/>
        <v>1.5529745008091409</v>
      </c>
      <c r="AV466" t="str">
        <f t="shared" si="380"/>
        <v>1+56,1050324508546i</v>
      </c>
      <c r="AW466">
        <f t="shared" si="405"/>
        <v>56.113943599710112</v>
      </c>
      <c r="AX466">
        <f t="shared" si="406"/>
        <v>1.5529745008091409</v>
      </c>
      <c r="AY466" t="str">
        <f t="shared" si="381"/>
        <v>1-0,000453694514424218i</v>
      </c>
      <c r="AZ466">
        <f t="shared" si="407"/>
        <v>1.000000102919351</v>
      </c>
      <c r="BA466">
        <f t="shared" si="408"/>
        <v>-4.536944832949236E-4</v>
      </c>
      <c r="BB466" s="58" t="str">
        <f t="shared" si="409"/>
        <v>-0,000327486871563728+0,0188537230866044i</v>
      </c>
      <c r="BC466">
        <f t="shared" si="410"/>
        <v>-34.49074739402981</v>
      </c>
      <c r="BD466" s="60">
        <f t="shared" si="411"/>
        <v>90.995120633119214</v>
      </c>
      <c r="BE466" s="58" t="str">
        <f t="shared" si="412"/>
        <v>-0,000591393274874988-0,00400935483847085i</v>
      </c>
      <c r="BF466" s="37">
        <f t="shared" si="413"/>
        <v>-47.845032885391731</v>
      </c>
      <c r="BG466" s="60">
        <f t="shared" si="414"/>
        <v>-98.390814935026043</v>
      </c>
      <c r="BH466" s="58" t="str">
        <f t="shared" si="415"/>
        <v>0,0853481123565444+0,0221062529161431i</v>
      </c>
      <c r="BI466" s="37">
        <f t="shared" si="416"/>
        <v>-21.094120753494956</v>
      </c>
      <c r="BJ466" s="60">
        <f t="shared" si="417"/>
        <v>14.521222184120031</v>
      </c>
      <c r="BK466">
        <f t="shared" si="418"/>
        <v>-47.845032885391731</v>
      </c>
      <c r="BL466" s="60">
        <f t="shared" si="419"/>
        <v>-98.390814935026043</v>
      </c>
      <c r="BN466">
        <f t="shared" si="420"/>
        <v>0</v>
      </c>
      <c r="BO466">
        <f t="shared" si="421"/>
        <v>0</v>
      </c>
    </row>
    <row r="467" spans="13:67" x14ac:dyDescent="0.25">
      <c r="M467" s="66">
        <v>49</v>
      </c>
      <c r="N467" s="36">
        <f t="shared" si="422"/>
        <v>309029.54325135931</v>
      </c>
      <c r="O467" s="91" t="str">
        <f t="shared" ref="O467:O530" si="423">COMPLEX(adc,0)</f>
        <v>13,7404580152672</v>
      </c>
      <c r="P467" s="67" t="str">
        <f t="shared" ref="P467:P530" si="424">IMSUM(COMPLEX(1,0),IMDIV(COMPLEX(0,2*PI()*N467),COMPLEX(wp_lf,0)))</f>
        <v>1+2097,02507649267i</v>
      </c>
      <c r="Q467" s="67">
        <f t="shared" si="382"/>
        <v>2097.025314925666</v>
      </c>
      <c r="R467" s="67">
        <f t="shared" si="383"/>
        <v>1.570319460812029</v>
      </c>
      <c r="S467" s="67" t="str">
        <f t="shared" ref="S467:S530" si="425">IMSUM(COMPLEX(1,0),IMDIV(COMPLEX(0,2*PI()*N467),COMPLEX(wz_esr,0)))</f>
        <v>1+58,2506965692409i</v>
      </c>
      <c r="T467" s="67">
        <f t="shared" si="384"/>
        <v>58.259279525254811</v>
      </c>
      <c r="U467" s="67">
        <f t="shared" si="385"/>
        <v>1.5536308362696396</v>
      </c>
      <c r="V467" t="str">
        <f t="shared" ref="V467:V530" si="426">IMSUB(COMPLEX(1,0),IMDIV(COMPLEX(0,2*PI()*N467),COMPLEX(wz_rhp,0)))</f>
        <v>1-12,1355617852585i</v>
      </c>
      <c r="W467" s="67">
        <f t="shared" si="386"/>
        <v>12.176693304991566</v>
      </c>
      <c r="X467" s="67">
        <f t="shared" si="387"/>
        <v>-1.4885796312176234</v>
      </c>
      <c r="Y467" t="str">
        <f t="shared" ref="Y467:Y530" si="427">IMSUM(COMPLEX(1,0),IMDIV(COMPLEX(0,2*PI()*N467),COMPLEX(Q*(wsl/2),0)),IMDIV(IMPOWER(COMPLEX(0,2*PI()*N467),2),IMPOWER(COMPLEX(wsl/2,0),2)))</f>
        <v>-5,11195255053722+21,0572068514083i</v>
      </c>
      <c r="Z467" s="67">
        <f t="shared" si="388"/>
        <v>21.668825977932922</v>
      </c>
      <c r="AA467" s="67">
        <f t="shared" si="389"/>
        <v>1.8089540600083946</v>
      </c>
      <c r="AB467" s="92" t="str">
        <f t="shared" si="390"/>
        <v>-0,2113260460666+0,0368479080651067i</v>
      </c>
      <c r="AC467" s="37">
        <f t="shared" si="391"/>
        <v>-13.3708673688628</v>
      </c>
      <c r="AD467" s="60">
        <f t="shared" si="392"/>
        <v>170.10904893839623</v>
      </c>
      <c r="AE467" t="str">
        <f t="shared" si="393"/>
        <v>21,0353732052265</v>
      </c>
      <c r="AF467" t="str">
        <f t="shared" ref="AF467:AF530" si="428">IMSUM(COMPLEX(1,0),IMDIV(COMPLEX(0,2*PI()*N467),COMPLEX(wp_lf_DCM,0)))</f>
        <v>1+1048,51253824634i</v>
      </c>
      <c r="AG467">
        <f t="shared" si="394"/>
        <v>1048.5130151122505</v>
      </c>
      <c r="AH467">
        <f t="shared" si="395"/>
        <v>1.5698425950460411</v>
      </c>
      <c r="AI467" t="str">
        <f t="shared" ref="AI467:AI530" si="429">IMSUM(COMPLEX(1,0),IMDIV(COMPLEX(0,2*PI()*N467),COMPLEX(wz1_dcm,0)))</f>
        <v>1+58,2506965692409i</v>
      </c>
      <c r="AJ467">
        <f t="shared" si="396"/>
        <v>58.259279525254811</v>
      </c>
      <c r="AK467">
        <f t="shared" si="397"/>
        <v>1.5536308362696396</v>
      </c>
      <c r="AL467" t="str">
        <f t="shared" ref="AL467:AL530" si="430">IMSUB(COMPLEX(1,0),IMDIV(COMPLEX(0,2*PI()*N467),COMPLEX(wz2_dcm,0)))</f>
        <v>1-3,96345788212029i</v>
      </c>
      <c r="AM467">
        <f t="shared" si="398"/>
        <v>4.0876641720353515</v>
      </c>
      <c r="AN467">
        <f t="shared" si="399"/>
        <v>-1.3236494884043462</v>
      </c>
      <c r="AO467" s="58" t="str">
        <f t="shared" si="400"/>
        <v>1,0935521765266-4,65084224992262i</v>
      </c>
      <c r="AP467">
        <f t="shared" si="401"/>
        <v>13.584334278457973</v>
      </c>
      <c r="AQ467" s="60">
        <f t="shared" si="402"/>
        <v>-76.768394596591619</v>
      </c>
      <c r="AR467" t="str">
        <f t="shared" ref="AR467:AR530" si="431">COMPLEX(adc_ea,0)</f>
        <v>-1,05811623246493</v>
      </c>
      <c r="AS467" t="str">
        <f t="shared" ref="AS467:AS530" si="432">IMSUM(COMPLEX(1,0), IMDIV(COMPLEX(0,2*PI()*N467), COMPLEX(wp0_ea,0)))</f>
        <v>1+57,4118865386438i</v>
      </c>
      <c r="AT467">
        <f t="shared" si="403"/>
        <v>57.420594876107906</v>
      </c>
      <c r="AU467">
        <f t="shared" si="404"/>
        <v>1.5533800921119942</v>
      </c>
      <c r="AV467" t="str">
        <f t="shared" ref="AV467:AV530" si="433">IMSUM(COMPLEX(1,0),IMDIV(COMPLEX(0,2*PI()*N467),COMPLEX(wp1_ea,0)))</f>
        <v>1+57,4118865386438i</v>
      </c>
      <c r="AW467">
        <f t="shared" si="405"/>
        <v>57.420594876107906</v>
      </c>
      <c r="AX467">
        <f t="shared" si="406"/>
        <v>1.5533800921119942</v>
      </c>
      <c r="AY467" t="str">
        <f t="shared" ref="AY467:AY530" si="434">IMSUM(COMPLEX(1,0),IMDIV(COMPLEX(wz_ea,0),COMPLEX(0,2*PI()*N467)))</f>
        <v>1-0,000443367166438819i</v>
      </c>
      <c r="AZ467">
        <f t="shared" si="407"/>
        <v>1.0000000982872173</v>
      </c>
      <c r="BA467">
        <f t="shared" si="408"/>
        <v>-4.4336713738727101E-4</v>
      </c>
      <c r="BB467" s="58" t="str">
        <f t="shared" si="409"/>
        <v>-0,000312752004723551+0,0184248166056728i</v>
      </c>
      <c r="BC467">
        <f t="shared" si="410"/>
        <v>-34.69068535738235</v>
      </c>
      <c r="BD467" s="60">
        <f t="shared" si="411"/>
        <v>90.972473676592571</v>
      </c>
      <c r="BE467" s="58" t="str">
        <f t="shared" si="412"/>
        <v>-0,000612823303844652-0,0039051678998963i</v>
      </c>
      <c r="BF467" s="37">
        <f t="shared" si="413"/>
        <v>-48.061552726245147</v>
      </c>
      <c r="BG467" s="60">
        <f t="shared" si="414"/>
        <v>-98.918477385011187</v>
      </c>
      <c r="BH467" s="58" t="str">
        <f t="shared" si="415"/>
        <v>0,0853489048812604+0,0216030585385532i</v>
      </c>
      <c r="BI467" s="37">
        <f t="shared" si="416"/>
        <v>-21.106351078924376</v>
      </c>
      <c r="BJ467" s="60">
        <f t="shared" si="417"/>
        <v>14.204079080000962</v>
      </c>
      <c r="BK467">
        <f t="shared" si="418"/>
        <v>-48.061552726245147</v>
      </c>
      <c r="BL467" s="60">
        <f t="shared" si="419"/>
        <v>-98.918477385011187</v>
      </c>
      <c r="BN467">
        <f t="shared" si="420"/>
        <v>0</v>
      </c>
      <c r="BO467">
        <f t="shared" si="421"/>
        <v>0</v>
      </c>
    </row>
    <row r="468" spans="13:67" x14ac:dyDescent="0.25">
      <c r="M468" s="66">
        <v>50</v>
      </c>
      <c r="N468" s="36">
        <f t="shared" si="422"/>
        <v>316227.7660168382</v>
      </c>
      <c r="O468" s="91" t="str">
        <f t="shared" si="423"/>
        <v>13,7404580152672</v>
      </c>
      <c r="P468" s="67" t="str">
        <f t="shared" si="424"/>
        <v>1+2145,87106541196i</v>
      </c>
      <c r="Q468" s="67">
        <f t="shared" ref="Q468:Q531" si="435">IMABS(P468)</f>
        <v>2145.871298417559</v>
      </c>
      <c r="R468" s="67">
        <f t="shared" ref="R468:R531" si="436">IMARGUMENT(P468)</f>
        <v>1.5703303156054409</v>
      </c>
      <c r="S468" s="67" t="str">
        <f t="shared" si="425"/>
        <v>1+59,6075295947767i</v>
      </c>
      <c r="T468" s="67">
        <f t="shared" ref="T468:T531" si="437">IMABS(S468)</f>
        <v>59.615917206667042</v>
      </c>
      <c r="U468" s="67">
        <f t="shared" ref="U468:U531" si="438">IMARGUMENT(S468)</f>
        <v>1.5540214963879639</v>
      </c>
      <c r="V468" t="str">
        <f t="shared" si="426"/>
        <v>1-12,4182353322451i</v>
      </c>
      <c r="W468" s="67">
        <f t="shared" ref="W468:W531" si="439">IMABS(V468)</f>
        <v>12.45843364019011</v>
      </c>
      <c r="X468" s="67">
        <f t="shared" ref="X468:X531" si="440">IMARGUMENT(V468)</f>
        <v>-1.490442973371197</v>
      </c>
      <c r="Y468" t="str">
        <f t="shared" si="427"/>
        <v>-5,4+21,5476922080524i</v>
      </c>
      <c r="Z468" s="67">
        <f t="shared" ref="Z468:Z531" si="441">IMABS(Y468)</f>
        <v>22.214027988929924</v>
      </c>
      <c r="AA468" s="67">
        <f t="shared" ref="AA468:AA531" si="442">IMARGUMENT(Y468)</f>
        <v>1.8163460931773359</v>
      </c>
      <c r="AB468" s="92" t="str">
        <f t="shared" ref="AB468:AB531" si="443">(IMDIV(IMPRODUCT(O468,S468,V468),IMPRODUCT(P468,Y468)))</f>
        <v>-0,210572929185491+0,038645403371261i</v>
      </c>
      <c r="AC468" s="37">
        <f t="shared" ref="AC468:AC531" si="444">20*LOG(IMABS(AB468))</f>
        <v>-13.388082058680071</v>
      </c>
      <c r="AD468" s="60">
        <f t="shared" ref="AD468:AD531" si="445">(180/PI())*IMARGUMENT(AB468)</f>
        <v>169.60051623676071</v>
      </c>
      <c r="AE468" t="str">
        <f t="shared" ref="AE468:AE531" si="446">COMPLEX($B$67,0)</f>
        <v>21,0353732052265</v>
      </c>
      <c r="AF468" t="str">
        <f t="shared" si="428"/>
        <v>1+1072,93553270598i</v>
      </c>
      <c r="AG468">
        <f t="shared" ref="AG468:AG531" si="447">IMABS(AF468)</f>
        <v>1072.9359987171019</v>
      </c>
      <c r="AH468">
        <f t="shared" ref="AH468:AH531" si="448">IMARGUMENT(AF468)</f>
        <v>1.5698643046183891</v>
      </c>
      <c r="AI468" t="str">
        <f t="shared" si="429"/>
        <v>1+59,6075295947767i</v>
      </c>
      <c r="AJ468">
        <f t="shared" ref="AJ468:AJ531" si="449">IMABS(AI468)</f>
        <v>59.615917206667042</v>
      </c>
      <c r="AK468">
        <f t="shared" ref="AK468:AK531" si="450">IMARGUMENT(AI468)</f>
        <v>1.5540214963879639</v>
      </c>
      <c r="AL468" t="str">
        <f t="shared" si="430"/>
        <v>1-4,05577867597361i</v>
      </c>
      <c r="AM468">
        <f t="shared" ref="AM468:AM531" si="451">IMABS(AL468)</f>
        <v>4.1772407960856466</v>
      </c>
      <c r="AN468">
        <f t="shared" ref="AN468:AN531" si="452">IMARGUMENT(AL468)</f>
        <v>-1.3290562463473223</v>
      </c>
      <c r="AO468" s="58" t="str">
        <f t="shared" ref="AO468:AO531" si="453">(IMDIV(IMPRODUCT(AE468,AI468,AL468),IMPRODUCT(AF468)))</f>
        <v>1,09355136012991-4,75829834152045i</v>
      </c>
      <c r="AP468">
        <f t="shared" ref="AP468:AP531" si="454">20*LOG(IMABS(AO468))</f>
        <v>13.772562912887622</v>
      </c>
      <c r="AQ468" s="60">
        <f t="shared" ref="AQ468:AQ531" si="455">(180/PI())*IMARGUMENT(AO468)</f>
        <v>-77.057039698439397</v>
      </c>
      <c r="AR468" t="str">
        <f t="shared" si="431"/>
        <v>-1,05811623246493</v>
      </c>
      <c r="AS468" t="str">
        <f t="shared" si="432"/>
        <v>1+58,7491811686118i</v>
      </c>
      <c r="AT468">
        <f t="shared" ref="AT468:AT531" si="456">IMABS(AS468)</f>
        <v>58.757691309158595</v>
      </c>
      <c r="AU468">
        <f t="shared" ref="AU468:AU531" si="457">IMARGUMENT(AS468)</f>
        <v>1.5537764565671801</v>
      </c>
      <c r="AV468" t="str">
        <f t="shared" si="433"/>
        <v>1+58,7491811686118i</v>
      </c>
      <c r="AW468">
        <f t="shared" ref="AW468:AW531" si="458">IMABS(AV468)</f>
        <v>58.757691309158595</v>
      </c>
      <c r="AX468">
        <f t="shared" ref="AX468:AX531" si="459">IMARGUMENT(AV468)</f>
        <v>1.5537764565671801</v>
      </c>
      <c r="AY468" t="str">
        <f t="shared" si="434"/>
        <v>1-0,000433274897593724i</v>
      </c>
      <c r="AZ468">
        <f t="shared" ref="AZ468:AZ531" si="460">IMABS(AY468)</f>
        <v>1.000000093863564</v>
      </c>
      <c r="BA468">
        <f t="shared" ref="BA468:BA531" si="461">IMARGUMENT(AY468)</f>
        <v>-4.3327487048124171E-4</v>
      </c>
      <c r="BB468" s="58" t="str">
        <f t="shared" ref="BB468:BB531" si="462">IMDIV(IMPRODUCT(AR468,AY468), AS468)</f>
        <v>-0,000298679922905803+0,0180056561044835i</v>
      </c>
      <c r="BC468">
        <f t="shared" ref="BC468:BC531" si="463">20*LOG(IMABS(BB468))</f>
        <v>-34.890626112015639</v>
      </c>
      <c r="BD468" s="60">
        <f t="shared" ref="BD468:BD531" si="464">(180/PI())*IMARGUMENT(BB468)</f>
        <v>90.950341910460864</v>
      </c>
      <c r="BE468" s="58" t="str">
        <f t="shared" ref="BE468:BE531" si="465">IMPRODUCT(AB468,BB468)</f>
        <v>-0,000632941936866801-0,0038030463539273i</v>
      </c>
      <c r="BF468" s="37">
        <f t="shared" ref="BF468:BF531" si="466">20*LOG(IMABS(BE468))</f>
        <v>-48.278708170695708</v>
      </c>
      <c r="BG468" s="60">
        <f t="shared" ref="BG468:BG531" si="467">(180/PI())*IMARGUMENT(BE468)</f>
        <v>-99.449141852778411</v>
      </c>
      <c r="BH468" s="58" t="str">
        <f t="shared" ref="BH468:BH531" si="468">IMPRODUCT(AO468,BB468)</f>
        <v>0,0853496617440143+0,0211113179048975i</v>
      </c>
      <c r="BI468" s="37">
        <f t="shared" ref="BI468:BI531" si="469">20*LOG(IMABS(BH468))</f>
        <v>-21.118063199128017</v>
      </c>
      <c r="BJ468" s="60">
        <f t="shared" ref="BJ468:BJ531" si="470">(180/PI())*IMARGUMENT(BH468)</f>
        <v>13.893302212021473</v>
      </c>
      <c r="BK468">
        <f t="shared" ref="BK468:BK531" si="471">IF($B$19=0,BF468,BI468)</f>
        <v>-48.278708170695708</v>
      </c>
      <c r="BL468" s="60">
        <f t="shared" ref="BL468:BL531" si="472">IF($B$19=0,BG468,BJ468)</f>
        <v>-99.449141852778411</v>
      </c>
      <c r="BN468">
        <f t="shared" si="420"/>
        <v>0</v>
      </c>
      <c r="BO468">
        <f t="shared" si="421"/>
        <v>0</v>
      </c>
    </row>
    <row r="469" spans="13:67" x14ac:dyDescent="0.25">
      <c r="M469" s="66">
        <v>51</v>
      </c>
      <c r="N469" s="36">
        <f t="shared" si="422"/>
        <v>323593.65692962846</v>
      </c>
      <c r="O469" s="91" t="str">
        <f t="shared" si="423"/>
        <v>13,7404580152672</v>
      </c>
      <c r="P469" s="67" t="str">
        <f t="shared" si="424"/>
        <v>1+2195,85482357409i</v>
      </c>
      <c r="Q469" s="67">
        <f t="shared" si="435"/>
        <v>2195.8550512758347</v>
      </c>
      <c r="R469" s="67">
        <f t="shared" si="436"/>
        <v>1.5703409233136949</v>
      </c>
      <c r="S469" s="67" t="str">
        <f t="shared" si="425"/>
        <v>1+60,9959673215026i</v>
      </c>
      <c r="T469" s="67">
        <f t="shared" si="437"/>
        <v>61.004164033988793</v>
      </c>
      <c r="U469" s="67">
        <f t="shared" si="438"/>
        <v>1.5544032689444298</v>
      </c>
      <c r="V469" t="str">
        <f t="shared" si="426"/>
        <v>1-12,7074931919797i</v>
      </c>
      <c r="W469" s="67">
        <f t="shared" si="439"/>
        <v>12.746779327508985</v>
      </c>
      <c r="X469" s="67">
        <f t="shared" si="440"/>
        <v>-1.4922644411704131</v>
      </c>
      <c r="Y469" t="str">
        <f t="shared" si="427"/>
        <v>-5,70162270752575+22,0496024363226i</v>
      </c>
      <c r="Z469" s="67">
        <f t="shared" si="441"/>
        <v>22.774842899542843</v>
      </c>
      <c r="AA469" s="67">
        <f t="shared" si="442"/>
        <v>1.8238353918432415</v>
      </c>
      <c r="AB469" s="92" t="str">
        <f t="shared" si="443"/>
        <v>-0,209786849231071+0,0404429529609608i</v>
      </c>
      <c r="AC469" s="37">
        <f t="shared" si="444"/>
        <v>-13.405958035865204</v>
      </c>
      <c r="AD469" s="60">
        <f t="shared" si="445"/>
        <v>169.08831479358335</v>
      </c>
      <c r="AE469" t="str">
        <f t="shared" si="446"/>
        <v>21,0353732052265</v>
      </c>
      <c r="AF469" t="str">
        <f t="shared" si="428"/>
        <v>1+1097,92741178705i</v>
      </c>
      <c r="AG469">
        <f t="shared" si="447"/>
        <v>1097.9278671904681</v>
      </c>
      <c r="AH469">
        <f t="shared" si="448"/>
        <v>1.5698855200213875</v>
      </c>
      <c r="AI469" t="str">
        <f t="shared" si="429"/>
        <v>1+60,9959673215026i</v>
      </c>
      <c r="AJ469">
        <f t="shared" si="449"/>
        <v>61.004164033988793</v>
      </c>
      <c r="AK469">
        <f t="shared" si="450"/>
        <v>1.5544032689444298</v>
      </c>
      <c r="AL469" t="str">
        <f t="shared" si="430"/>
        <v>1-4,15024989736551i</v>
      </c>
      <c r="AM469">
        <f t="shared" si="451"/>
        <v>4.2690249718855515</v>
      </c>
      <c r="AN469">
        <f t="shared" si="452"/>
        <v>-1.3343538974853191</v>
      </c>
      <c r="AO469" s="58" t="str">
        <f t="shared" si="453"/>
        <v>1,09355058047704-4,86827734581394i</v>
      </c>
      <c r="AP469">
        <f t="shared" si="454"/>
        <v>13.961291773659317</v>
      </c>
      <c r="AQ469" s="60">
        <f t="shared" si="455"/>
        <v>-77.339914346812435</v>
      </c>
      <c r="AR469" t="str">
        <f t="shared" si="431"/>
        <v>-1,05811623246493</v>
      </c>
      <c r="AS469" t="str">
        <f t="shared" si="432"/>
        <v>1+60,1176253920729i</v>
      </c>
      <c r="AT469">
        <f t="shared" si="456"/>
        <v>60.125941845276806</v>
      </c>
      <c r="AU469">
        <f t="shared" si="457"/>
        <v>1.5541638038339274</v>
      </c>
      <c r="AV469" t="str">
        <f t="shared" si="433"/>
        <v>1+60,1176253920729i</v>
      </c>
      <c r="AW469">
        <f t="shared" si="458"/>
        <v>60.125941845276806</v>
      </c>
      <c r="AX469">
        <f t="shared" si="459"/>
        <v>1.5541638038339274</v>
      </c>
      <c r="AY469" t="str">
        <f t="shared" si="434"/>
        <v>1-0,000423412356834405i</v>
      </c>
      <c r="AZ469">
        <f t="shared" si="460"/>
        <v>1.000000089639008</v>
      </c>
      <c r="BA469">
        <f t="shared" si="461"/>
        <v>-4.2341233153156416E-4</v>
      </c>
      <c r="BB469" s="58" t="str">
        <f t="shared" si="462"/>
        <v>-0,000285240830455823+0,0175960208796597i</v>
      </c>
      <c r="BC469">
        <f t="shared" si="463"/>
        <v>-35.090569532374211</v>
      </c>
      <c r="BD469" s="60">
        <f t="shared" si="464"/>
        <v>90.928713628727408</v>
      </c>
      <c r="BE469" s="58" t="str">
        <f t="shared" si="465"/>
        <v>-0,00065179526964278-0,00370294976083662i</v>
      </c>
      <c r="BF469" s="37">
        <f t="shared" si="466"/>
        <v>-48.496527568239401</v>
      </c>
      <c r="BG469" s="60">
        <f t="shared" si="467"/>
        <v>-99.982971577689213</v>
      </c>
      <c r="BH469" s="58" t="str">
        <f t="shared" si="468"/>
        <v>0,0853503845491957+0,0206307703200472i</v>
      </c>
      <c r="BI469" s="37">
        <f t="shared" si="469"/>
        <v>-21.129277758714888</v>
      </c>
      <c r="BJ469" s="60">
        <f t="shared" si="470"/>
        <v>13.588799281914977</v>
      </c>
      <c r="BK469">
        <f t="shared" si="471"/>
        <v>-48.496527568239401</v>
      </c>
      <c r="BL469" s="60">
        <f t="shared" si="472"/>
        <v>-99.982971577689213</v>
      </c>
      <c r="BN469">
        <f t="shared" ref="BN469:BN532" si="473">SUM((BK470&lt;0)*(BK469&gt;0))*N469</f>
        <v>0</v>
      </c>
      <c r="BO469">
        <f t="shared" ref="BO469:BO532" si="474">IF(BN469&gt;0,BL469,0)</f>
        <v>0</v>
      </c>
    </row>
    <row r="470" spans="13:67" x14ac:dyDescent="0.25">
      <c r="M470" s="66">
        <v>52</v>
      </c>
      <c r="N470" s="36">
        <f t="shared" si="422"/>
        <v>331131.12148259126</v>
      </c>
      <c r="O470" s="91" t="str">
        <f t="shared" si="423"/>
        <v>13,7404580152672</v>
      </c>
      <c r="P470" s="67" t="str">
        <f t="shared" si="424"/>
        <v>1+2247,00285302927i</v>
      </c>
      <c r="Q470" s="67">
        <f t="shared" si="435"/>
        <v>2247.0030755478906</v>
      </c>
      <c r="R470" s="67">
        <f t="shared" si="436"/>
        <v>1.5703512895611287</v>
      </c>
      <c r="S470" s="67" t="str">
        <f t="shared" si="425"/>
        <v>1+62,4167459174797i</v>
      </c>
      <c r="T470" s="67">
        <f t="shared" si="437"/>
        <v>62.424756074230828</v>
      </c>
      <c r="U470" s="67">
        <f t="shared" si="438"/>
        <v>1.5547763559144971</v>
      </c>
      <c r="V470" t="str">
        <f t="shared" si="426"/>
        <v>1-13,0034887328083i</v>
      </c>
      <c r="W470" s="67">
        <f t="shared" si="439"/>
        <v>13.041883269845364</v>
      </c>
      <c r="X470" s="67">
        <f t="shared" si="440"/>
        <v>-1.4940449520093122</v>
      </c>
      <c r="Y470" t="str">
        <f t="shared" si="427"/>
        <v>-6,01746045531643+22,5632036556656i</v>
      </c>
      <c r="Z470" s="67">
        <f t="shared" si="441"/>
        <v>23.351830539346125</v>
      </c>
      <c r="AA470" s="67">
        <f t="shared" si="442"/>
        <v>1.8314237992545719</v>
      </c>
      <c r="AB470" s="92" t="str">
        <f t="shared" si="443"/>
        <v>-0,208966955293432+0,0422402820419386i</v>
      </c>
      <c r="AC470" s="37">
        <f t="shared" si="444"/>
        <v>-13.424524499953245</v>
      </c>
      <c r="AD470" s="60">
        <f t="shared" si="445"/>
        <v>168.57229768579094</v>
      </c>
      <c r="AE470" t="str">
        <f t="shared" si="446"/>
        <v>21,0353732052265</v>
      </c>
      <c r="AF470" t="str">
        <f t="shared" si="428"/>
        <v>1+1123,50142651463i</v>
      </c>
      <c r="AG470">
        <f t="shared" si="447"/>
        <v>1123.5018715518052</v>
      </c>
      <c r="AH470">
        <f t="shared" si="448"/>
        <v>1.5699062525036473</v>
      </c>
      <c r="AI470" t="str">
        <f t="shared" si="429"/>
        <v>1+62,4167459174797i</v>
      </c>
      <c r="AJ470">
        <f t="shared" si="449"/>
        <v>62.424756074230828</v>
      </c>
      <c r="AK470">
        <f t="shared" si="450"/>
        <v>1.5547763559144971</v>
      </c>
      <c r="AL470" t="str">
        <f t="shared" si="430"/>
        <v>1-4,24692163618805i</v>
      </c>
      <c r="AM470">
        <f t="shared" si="451"/>
        <v>4.3630658239272737</v>
      </c>
      <c r="AN470">
        <f t="shared" si="452"/>
        <v>-1.339544060753606</v>
      </c>
      <c r="AO470" s="58" t="str">
        <f t="shared" si="453"/>
        <v>1,0935498359143-4,98083757513158i</v>
      </c>
      <c r="AP470">
        <f t="shared" si="454"/>
        <v>14.150500809175629</v>
      </c>
      <c r="AQ470" s="60">
        <f t="shared" si="455"/>
        <v>-77.617100372025178</v>
      </c>
      <c r="AR470" t="str">
        <f t="shared" si="431"/>
        <v>-1,05811623246493</v>
      </c>
      <c r="AS470" t="str">
        <f t="shared" si="432"/>
        <v>1+61,5179447762679i</v>
      </c>
      <c r="AT470">
        <f t="shared" si="456"/>
        <v>61.52607194918221</v>
      </c>
      <c r="AU470">
        <f t="shared" si="457"/>
        <v>1.554542338823683</v>
      </c>
      <c r="AV470" t="str">
        <f t="shared" si="433"/>
        <v>1+61,5179447762679i</v>
      </c>
      <c r="AW470">
        <f t="shared" si="458"/>
        <v>61.52607194918221</v>
      </c>
      <c r="AX470">
        <f t="shared" si="459"/>
        <v>1.554542338823683</v>
      </c>
      <c r="AY470" t="str">
        <f t="shared" si="434"/>
        <v>1-0,000413774314911203i</v>
      </c>
      <c r="AZ470">
        <f t="shared" si="460"/>
        <v>1.0000000856045881</v>
      </c>
      <c r="BA470">
        <f t="shared" si="461"/>
        <v>-4.137742912972179E-4</v>
      </c>
      <c r="BB470" s="58" t="str">
        <f t="shared" si="462"/>
        <v>-0,000272406269703088+0,0171956951754883i</v>
      </c>
      <c r="BC470">
        <f t="shared" si="463"/>
        <v>-35.290515498547187</v>
      </c>
      <c r="BD470" s="60">
        <f t="shared" si="464"/>
        <v>90.907577390444601</v>
      </c>
      <c r="BE470" s="58" t="str">
        <f t="shared" si="465"/>
        <v>-0,000669427105337133-0,003604838582638i</v>
      </c>
      <c r="BF470" s="37">
        <f t="shared" si="466"/>
        <v>-48.715039998500423</v>
      </c>
      <c r="BG470" s="60">
        <f t="shared" si="467"/>
        <v>-100.52012492376446</v>
      </c>
      <c r="BH470" s="58" t="str">
        <f t="shared" si="468"/>
        <v>0,0853510748290451+0,0201611610214261i</v>
      </c>
      <c r="BI470" s="37">
        <f t="shared" si="469"/>
        <v>-21.140014689371558</v>
      </c>
      <c r="BJ470" s="60">
        <f t="shared" si="470"/>
        <v>13.29047701841942</v>
      </c>
      <c r="BK470">
        <f t="shared" si="471"/>
        <v>-48.715039998500423</v>
      </c>
      <c r="BL470" s="60">
        <f t="shared" si="472"/>
        <v>-100.52012492376446</v>
      </c>
      <c r="BN470">
        <f t="shared" si="473"/>
        <v>0</v>
      </c>
      <c r="BO470">
        <f t="shared" si="474"/>
        <v>0</v>
      </c>
    </row>
    <row r="471" spans="13:67" x14ac:dyDescent="0.25">
      <c r="M471" s="66">
        <v>53</v>
      </c>
      <c r="N471" s="36">
        <f t="shared" si="422"/>
        <v>338844.15613920329</v>
      </c>
      <c r="O471" s="91" t="str">
        <f t="shared" si="423"/>
        <v>13,7404580152672</v>
      </c>
      <c r="P471" s="67" t="str">
        <f t="shared" si="424"/>
        <v>1+2299,34227313971i</v>
      </c>
      <c r="Q471" s="67">
        <f t="shared" si="435"/>
        <v>2299.3424905931888</v>
      </c>
      <c r="R471" s="67">
        <f t="shared" si="436"/>
        <v>1.5703614198440552</v>
      </c>
      <c r="S471" s="67" t="str">
        <f t="shared" si="425"/>
        <v>1+63,8706186983254i</v>
      </c>
      <c r="T471" s="67">
        <f t="shared" si="437"/>
        <v>63.878446544252107</v>
      </c>
      <c r="U471" s="67">
        <f t="shared" si="438"/>
        <v>1.5551409546981256</v>
      </c>
      <c r="V471" t="str">
        <f t="shared" si="426"/>
        <v>1-13,3063788954844i</v>
      </c>
      <c r="W471" s="67">
        <f t="shared" si="439"/>
        <v>13.343901952209954</v>
      </c>
      <c r="X471" s="67">
        <f t="shared" si="440"/>
        <v>-1.4957854047562089</v>
      </c>
      <c r="Y471" t="str">
        <f t="shared" si="427"/>
        <v>-6,34818317758011+23,0887681842462i</v>
      </c>
      <c r="Z471" s="67">
        <f t="shared" si="441"/>
        <v>23.945576750664632</v>
      </c>
      <c r="AA471" s="67">
        <f t="shared" si="442"/>
        <v>1.8391130874534098</v>
      </c>
      <c r="AB471" s="92" t="str">
        <f t="shared" si="443"/>
        <v>-0,208112389481127+0,044037056366356i</v>
      </c>
      <c r="AC471" s="37">
        <f t="shared" si="444"/>
        <v>-13.4438113823247</v>
      </c>
      <c r="AD471" s="60">
        <f t="shared" si="445"/>
        <v>168.05232287675923</v>
      </c>
      <c r="AE471" t="str">
        <f t="shared" si="446"/>
        <v>21,0353732052265</v>
      </c>
      <c r="AF471" t="str">
        <f t="shared" si="428"/>
        <v>1+1149,67113656986i</v>
      </c>
      <c r="AG471">
        <f t="shared" si="447"/>
        <v>1149.6715714767561</v>
      </c>
      <c r="AH471">
        <f t="shared" si="448"/>
        <v>1.5699265130577338</v>
      </c>
      <c r="AI471" t="str">
        <f t="shared" si="429"/>
        <v>1+63,8706186983254i</v>
      </c>
      <c r="AJ471">
        <f t="shared" si="449"/>
        <v>63.878446544252107</v>
      </c>
      <c r="AK471">
        <f t="shared" si="450"/>
        <v>1.5551409546981256</v>
      </c>
      <c r="AL471" t="str">
        <f t="shared" si="430"/>
        <v>1-4,34584514907676i</v>
      </c>
      <c r="AM471">
        <f t="shared" si="451"/>
        <v>4.4594136452849948</v>
      </c>
      <c r="AN471">
        <f t="shared" si="452"/>
        <v>-1.3446283690612169</v>
      </c>
      <c r="AO471" s="58" t="str">
        <f t="shared" si="453"/>
        <v>1,09354912486232-5,09603871040099i</v>
      </c>
      <c r="AP471">
        <f t="shared" si="454"/>
        <v>14.340170670759644</v>
      </c>
      <c r="AQ471" s="60">
        <f t="shared" si="455"/>
        <v>-77.888680652516896</v>
      </c>
      <c r="AR471" t="str">
        <f t="shared" si="431"/>
        <v>-1,05811623246493</v>
      </c>
      <c r="AS471" t="str">
        <f t="shared" si="432"/>
        <v>1+62,9508817890694i</v>
      </c>
      <c r="AT471">
        <f t="shared" si="456"/>
        <v>62.958823988551359</v>
      </c>
      <c r="AU471">
        <f t="shared" si="457"/>
        <v>1.5549122618065414</v>
      </c>
      <c r="AV471" t="str">
        <f t="shared" si="433"/>
        <v>1+62,9508817890694i</v>
      </c>
      <c r="AW471">
        <f t="shared" si="458"/>
        <v>62.958823988551359</v>
      </c>
      <c r="AX471">
        <f t="shared" si="459"/>
        <v>1.5549122618065414</v>
      </c>
      <c r="AY471" t="str">
        <f t="shared" si="434"/>
        <v>1-0,000404355661606718i</v>
      </c>
      <c r="AZ471">
        <f t="shared" si="460"/>
        <v>1.0000000817517471</v>
      </c>
      <c r="BA471">
        <f t="shared" si="461"/>
        <v>-4.0435563956886468E-4</v>
      </c>
      <c r="BB471" s="58" t="str">
        <f t="shared" si="462"/>
        <v>-0,000260149061009357+0,0168044680763726i</v>
      </c>
      <c r="BC471">
        <f t="shared" si="463"/>
        <v>-35.490463896014532</v>
      </c>
      <c r="BD471" s="60">
        <f t="shared" si="464"/>
        <v>90.886922013774665</v>
      </c>
      <c r="BE471" s="58" t="str">
        <f t="shared" si="465"/>
        <v>-0,000685879065177921-0,00350867420419654i</v>
      </c>
      <c r="BF471" s="37">
        <f t="shared" si="466"/>
        <v>-48.934275278339243</v>
      </c>
      <c r="BG471" s="60">
        <f t="shared" si="467"/>
        <v>-101.06075510946611</v>
      </c>
      <c r="BH471" s="58" t="str">
        <f t="shared" si="468"/>
        <v>0,0853517340468919+0,0197022410440722i</v>
      </c>
      <c r="BI471" s="37">
        <f t="shared" si="469"/>
        <v>-21.150293225254888</v>
      </c>
      <c r="BJ471" s="60">
        <f t="shared" si="470"/>
        <v>12.998241361257762</v>
      </c>
      <c r="BK471">
        <f t="shared" si="471"/>
        <v>-48.934275278339243</v>
      </c>
      <c r="BL471" s="60">
        <f t="shared" si="472"/>
        <v>-101.06075510946611</v>
      </c>
      <c r="BN471">
        <f t="shared" si="473"/>
        <v>0</v>
      </c>
      <c r="BO471">
        <f t="shared" si="474"/>
        <v>0</v>
      </c>
    </row>
    <row r="472" spans="13:67" x14ac:dyDescent="0.25">
      <c r="M472" s="66">
        <v>54</v>
      </c>
      <c r="N472" s="36">
        <f t="shared" si="422"/>
        <v>346736.85045253241</v>
      </c>
      <c r="O472" s="91" t="str">
        <f t="shared" si="423"/>
        <v>13,7404580152672</v>
      </c>
      <c r="P472" s="67" t="str">
        <f t="shared" si="424"/>
        <v>1+2352,90083495877i</v>
      </c>
      <c r="Q472" s="67">
        <f t="shared" si="435"/>
        <v>2352.9010474624033</v>
      </c>
      <c r="R472" s="67">
        <f t="shared" si="436"/>
        <v>1.5703713195336759</v>
      </c>
      <c r="S472" s="67" t="str">
        <f t="shared" si="425"/>
        <v>1+65,3583565266325i</v>
      </c>
      <c r="T472" s="67">
        <f t="shared" si="437"/>
        <v>65.366006210127338</v>
      </c>
      <c r="U472" s="67">
        <f t="shared" si="438"/>
        <v>1.5554972582224587</v>
      </c>
      <c r="V472" t="str">
        <f t="shared" si="426"/>
        <v>1-13,6163242763818i</v>
      </c>
      <c r="W472" s="67">
        <f t="shared" si="439"/>
        <v>13.652995524777133</v>
      </c>
      <c r="X472" s="67">
        <f t="shared" si="440"/>
        <v>-1.4974866800214996</v>
      </c>
      <c r="Y472" t="str">
        <f t="shared" si="427"/>
        <v>-6,69449238155152+23,6265746833339i</v>
      </c>
      <c r="Z472" s="67">
        <f t="shared" si="441"/>
        <v>24.556694800274034</v>
      </c>
      <c r="AA472" s="67">
        <f t="shared" si="442"/>
        <v>1.8469049520846335</v>
      </c>
      <c r="AB472" s="92" t="str">
        <f t="shared" si="443"/>
        <v>-0,207222289552546+0,045832880288405i</v>
      </c>
      <c r="AC472" s="37">
        <f t="shared" si="444"/>
        <v>-13.463849351382184</v>
      </c>
      <c r="AD472" s="60">
        <f t="shared" si="445"/>
        <v>167.52825350409785</v>
      </c>
      <c r="AE472" t="str">
        <f t="shared" si="446"/>
        <v>21,0353732052265</v>
      </c>
      <c r="AF472" t="str">
        <f t="shared" si="428"/>
        <v>1+1176,45041747938i</v>
      </c>
      <c r="AG472">
        <f t="shared" si="447"/>
        <v>1176.4508424865901</v>
      </c>
      <c r="AH472">
        <f t="shared" si="448"/>
        <v>1.5699463124259945</v>
      </c>
      <c r="AI472" t="str">
        <f t="shared" si="429"/>
        <v>1+65,3583565266325i</v>
      </c>
      <c r="AJ472">
        <f t="shared" si="449"/>
        <v>65.366006210127338</v>
      </c>
      <c r="AK472">
        <f t="shared" si="450"/>
        <v>1.5554972582224587</v>
      </c>
      <c r="AL472" t="str">
        <f t="shared" si="430"/>
        <v>1-4,44707288658755i</v>
      </c>
      <c r="AM472">
        <f t="shared" si="451"/>
        <v>4.5581199258709866</v>
      </c>
      <c r="AN472">
        <f t="shared" si="452"/>
        <v>-1.3496084662649399</v>
      </c>
      <c r="AO472" s="58" t="str">
        <f t="shared" si="453"/>
        <v>1,09354844581293-5,21394183279307i</v>
      </c>
      <c r="AP472">
        <f t="shared" si="454"/>
        <v>14.530282696518535</v>
      </c>
      <c r="AQ472" s="60">
        <f t="shared" si="455"/>
        <v>-78.154738935923547</v>
      </c>
      <c r="AR472" t="str">
        <f t="shared" si="431"/>
        <v>-1,05811623246493</v>
      </c>
      <c r="AS472" t="str">
        <f t="shared" si="432"/>
        <v>1+64,4171961926489i</v>
      </c>
      <c r="AT472">
        <f t="shared" si="456"/>
        <v>64.424957627632324</v>
      </c>
      <c r="AU472">
        <f t="shared" si="457"/>
        <v>1.5552737685153615</v>
      </c>
      <c r="AV472" t="str">
        <f t="shared" si="433"/>
        <v>1+64,4171961926489i</v>
      </c>
      <c r="AW472">
        <f t="shared" si="458"/>
        <v>64.424957627632324</v>
      </c>
      <c r="AX472">
        <f t="shared" si="459"/>
        <v>1.5552737685153615</v>
      </c>
      <c r="AY472" t="str">
        <f t="shared" si="434"/>
        <v>1-0,000395151403026297i</v>
      </c>
      <c r="AZ472">
        <f t="shared" si="460"/>
        <v>1.0000000780723126</v>
      </c>
      <c r="BA472">
        <f t="shared" si="461"/>
        <v>-3.9515138245937558E-4</v>
      </c>
      <c r="BB472" s="58" t="str">
        <f t="shared" si="462"/>
        <v>-0,000248443245491593+0,0164221334013938i</v>
      </c>
      <c r="BC472">
        <f t="shared" si="463"/>
        <v>-35.690414615405366</v>
      </c>
      <c r="BD472" s="60">
        <f t="shared" si="464"/>
        <v>90.866736570179526</v>
      </c>
      <c r="BE472" s="58" t="str">
        <f t="shared" si="465"/>
        <v>-0,000701190696111666-0,00341441895230324i</v>
      </c>
      <c r="BF472" s="37">
        <f t="shared" si="466"/>
        <v>-49.154263966787546</v>
      </c>
      <c r="BG472" s="60">
        <f t="shared" si="467"/>
        <v>-101.60500992572264</v>
      </c>
      <c r="BH472" s="58" t="str">
        <f t="shared" si="468"/>
        <v>0,0853523636002554+0,0192537670887703i</v>
      </c>
      <c r="BI472" s="37">
        <f t="shared" si="469"/>
        <v>-21.16013191888683</v>
      </c>
      <c r="BJ472" s="60">
        <f t="shared" si="470"/>
        <v>12.711997634255994</v>
      </c>
      <c r="BK472">
        <f t="shared" si="471"/>
        <v>-49.154263966787546</v>
      </c>
      <c r="BL472" s="60">
        <f t="shared" si="472"/>
        <v>-101.60500992572264</v>
      </c>
      <c r="BN472">
        <f t="shared" si="473"/>
        <v>0</v>
      </c>
      <c r="BO472">
        <f t="shared" si="474"/>
        <v>0</v>
      </c>
    </row>
    <row r="473" spans="13:67" x14ac:dyDescent="0.25">
      <c r="M473" s="66">
        <v>55</v>
      </c>
      <c r="N473" s="36">
        <f t="shared" si="422"/>
        <v>354813.38923357555</v>
      </c>
      <c r="O473" s="91" t="str">
        <f t="shared" si="423"/>
        <v>13,7404580152672</v>
      </c>
      <c r="P473" s="67" t="str">
        <f t="shared" si="424"/>
        <v>1+2407,70693594483i</v>
      </c>
      <c r="Q473" s="67">
        <f t="shared" si="435"/>
        <v>2407.707143611291</v>
      </c>
      <c r="R473" s="67">
        <f t="shared" si="436"/>
        <v>1.5703809938789297</v>
      </c>
      <c r="S473" s="67" t="str">
        <f t="shared" si="425"/>
        <v>1+66,8807482206898i</v>
      </c>
      <c r="T473" s="67">
        <f t="shared" si="437"/>
        <v>66.888223795817026</v>
      </c>
      <c r="U473" s="67">
        <f t="shared" si="438"/>
        <v>1.5558454550422649</v>
      </c>
      <c r="V473" t="str">
        <f t="shared" si="426"/>
        <v>1-13,9334892126437i</v>
      </c>
      <c r="W473" s="67">
        <f t="shared" si="439"/>
        <v>13.969327887871284</v>
      </c>
      <c r="X473" s="67">
        <f t="shared" si="440"/>
        <v>-1.4991496404292677</v>
      </c>
      <c r="Y473" t="str">
        <f t="shared" si="427"/>
        <v>-7,05712263548265+24,1769083050534i</v>
      </c>
      <c r="Z473" s="67">
        <f t="shared" si="441"/>
        <v>25.18582686915801</v>
      </c>
      <c r="AA473" s="67">
        <f t="shared" si="442"/>
        <v>1.8548010070007594</v>
      </c>
      <c r="AB473" s="92" t="str">
        <f t="shared" si="443"/>
        <v>-0,206295791762702+0,0476272948859099i</v>
      </c>
      <c r="AC473" s="37">
        <f t="shared" si="444"/>
        <v>-13.484669815354845</v>
      </c>
      <c r="AD473" s="60">
        <f t="shared" si="445"/>
        <v>166.99995817880006</v>
      </c>
      <c r="AE473" t="str">
        <f t="shared" si="446"/>
        <v>21,0353732052265</v>
      </c>
      <c r="AF473" t="str">
        <f t="shared" si="428"/>
        <v>1+1203,85346797242i</v>
      </c>
      <c r="AG473">
        <f t="shared" si="447"/>
        <v>1203.8538833052883</v>
      </c>
      <c r="AH473">
        <f t="shared" si="448"/>
        <v>1.569965661106254</v>
      </c>
      <c r="AI473" t="str">
        <f t="shared" si="429"/>
        <v>1+66,8807482206898i</v>
      </c>
      <c r="AJ473">
        <f t="shared" si="449"/>
        <v>66.888223795817026</v>
      </c>
      <c r="AK473">
        <f t="shared" si="450"/>
        <v>1.5558454550422649</v>
      </c>
      <c r="AL473" t="str">
        <f t="shared" si="430"/>
        <v>1-4,55065852100677i</v>
      </c>
      <c r="AM473">
        <f t="shared" si="451"/>
        <v>4.6592373812472268</v>
      </c>
      <c r="AN473">
        <f t="shared" si="452"/>
        <v>-1.3544860043274001</v>
      </c>
      <c r="AO473" s="58" t="str">
        <f t="shared" si="453"/>
        <v>1,09354779732574-5,33460945610751i</v>
      </c>
      <c r="AP473">
        <f t="shared" si="454"/>
        <v>14.720818894809915</v>
      </c>
      <c r="AQ473" s="60">
        <f t="shared" si="455"/>
        <v>-78.415359670820109</v>
      </c>
      <c r="AR473" t="str">
        <f t="shared" si="431"/>
        <v>-1,05811623246493</v>
      </c>
      <c r="AS473" t="str">
        <f t="shared" si="432"/>
        <v>1+65,9176654463118i</v>
      </c>
      <c r="AT473">
        <f t="shared" si="456"/>
        <v>65.925250230028624</v>
      </c>
      <c r="AU473">
        <f t="shared" si="457"/>
        <v>1.5556270502476144</v>
      </c>
      <c r="AV473" t="str">
        <f t="shared" si="433"/>
        <v>1+65,9176654463118i</v>
      </c>
      <c r="AW473">
        <f t="shared" si="458"/>
        <v>65.925250230028624</v>
      </c>
      <c r="AX473">
        <f t="shared" si="459"/>
        <v>1.5556270502476144</v>
      </c>
      <c r="AY473" t="str">
        <f t="shared" si="434"/>
        <v>1-0,00038615665895021i</v>
      </c>
      <c r="AZ473">
        <f t="shared" si="460"/>
        <v>1.0000000745584798</v>
      </c>
      <c r="BA473">
        <f t="shared" si="461"/>
        <v>-3.8615663975604205E-4</v>
      </c>
      <c r="BB473" s="58" t="str">
        <f t="shared" si="462"/>
        <v>-0,000237264030301371+0,016048489600959i</v>
      </c>
      <c r="BC473">
        <f t="shared" si="463"/>
        <v>-35.890367552266184</v>
      </c>
      <c r="BD473" s="60">
        <f t="shared" si="464"/>
        <v>90.847010378737068</v>
      </c>
      <c r="BE473" s="58" t="str">
        <f t="shared" si="465"/>
        <v>-0,000715399575710502-0,00332203611276231i</v>
      </c>
      <c r="BF473" s="37">
        <f t="shared" si="466"/>
        <v>-49.375037367621033</v>
      </c>
      <c r="BG473" s="60">
        <f t="shared" si="467"/>
        <v>-102.15303144246286</v>
      </c>
      <c r="BH473" s="58" t="str">
        <f t="shared" si="468"/>
        <v>0,0853529648237982+0,0188155013931736i</v>
      </c>
      <c r="BI473" s="37">
        <f t="shared" si="469"/>
        <v>-21.169548657456279</v>
      </c>
      <c r="BJ473" s="60">
        <f t="shared" si="470"/>
        <v>12.431650707916953</v>
      </c>
      <c r="BK473">
        <f t="shared" si="471"/>
        <v>-49.375037367621033</v>
      </c>
      <c r="BL473" s="60">
        <f t="shared" si="472"/>
        <v>-102.15303144246286</v>
      </c>
      <c r="BN473">
        <f t="shared" si="473"/>
        <v>0</v>
      </c>
      <c r="BO473">
        <f t="shared" si="474"/>
        <v>0</v>
      </c>
    </row>
    <row r="474" spans="13:67" x14ac:dyDescent="0.25">
      <c r="M474" s="66">
        <v>56</v>
      </c>
      <c r="N474" s="36">
        <f t="shared" si="422"/>
        <v>363078.05477010203</v>
      </c>
      <c r="O474" s="91" t="str">
        <f t="shared" si="423"/>
        <v>13,7404580152672</v>
      </c>
      <c r="P474" s="67" t="str">
        <f t="shared" si="424"/>
        <v>1+2463,78963501812i</v>
      </c>
      <c r="Q474" s="67">
        <f t="shared" si="435"/>
        <v>2463.7898379575158</v>
      </c>
      <c r="R474" s="67">
        <f t="shared" si="436"/>
        <v>1.5703904480092754</v>
      </c>
      <c r="S474" s="67" t="str">
        <f t="shared" si="425"/>
        <v>1+68,4386009727256i</v>
      </c>
      <c r="T474" s="67">
        <f t="shared" si="437"/>
        <v>68.44590640136164</v>
      </c>
      <c r="U474" s="67">
        <f t="shared" si="438"/>
        <v>1.5561857294381878</v>
      </c>
      <c r="V474" t="str">
        <f t="shared" si="426"/>
        <v>1-14,2580418693178i</v>
      </c>
      <c r="W474" s="67">
        <f t="shared" si="439"/>
        <v>14.293066778939341</v>
      </c>
      <c r="X474" s="67">
        <f t="shared" si="440"/>
        <v>-1.5007751308920059</v>
      </c>
      <c r="Y474" t="str">
        <f t="shared" si="427"/>
        <v>-7,43684312676105+24,7400608435756i</v>
      </c>
      <c r="Z474" s="67">
        <f t="shared" si="441"/>
        <v>25.833645624183116</v>
      </c>
      <c r="AA474" s="67">
        <f t="shared" si="442"/>
        <v>1.8628027786697636</v>
      </c>
      <c r="AB474" s="92" t="str">
        <f t="shared" si="443"/>
        <v>-0,205332033931745+0,0494197761645077i</v>
      </c>
      <c r="AC474" s="37">
        <f t="shared" si="444"/>
        <v>-13.506304922540931</v>
      </c>
      <c r="AD474" s="60">
        <f t="shared" si="445"/>
        <v>166.46731129538014</v>
      </c>
      <c r="AE474" t="str">
        <f t="shared" si="446"/>
        <v>21,0353732052265</v>
      </c>
      <c r="AF474" t="str">
        <f t="shared" si="428"/>
        <v>1+1231,89481750906i</v>
      </c>
      <c r="AG474">
        <f t="shared" si="447"/>
        <v>1231.895223387801</v>
      </c>
      <c r="AH474">
        <f t="shared" si="448"/>
        <v>1.5699845693573811</v>
      </c>
      <c r="AI474" t="str">
        <f t="shared" si="429"/>
        <v>1+68,4386009727256i</v>
      </c>
      <c r="AJ474">
        <f t="shared" si="449"/>
        <v>68.44590640136164</v>
      </c>
      <c r="AK474">
        <f t="shared" si="450"/>
        <v>1.5561857294381878</v>
      </c>
      <c r="AL474" t="str">
        <f t="shared" si="430"/>
        <v>1-4,65665697480894i</v>
      </c>
      <c r="AM474">
        <f t="shared" si="451"/>
        <v>4.7628199820103161</v>
      </c>
      <c r="AN474">
        <f t="shared" si="452"/>
        <v>-1.3592626406532637</v>
      </c>
      <c r="AO474" s="58" t="str">
        <f t="shared" si="453"/>
        <v>1,09354717802524-5,45810555991908i</v>
      </c>
      <c r="AP474">
        <f t="shared" si="454"/>
        <v>14.911761927403916</v>
      </c>
      <c r="AQ474" s="60">
        <f t="shared" si="455"/>
        <v>-78.670627848785884</v>
      </c>
      <c r="AR474" t="str">
        <f t="shared" si="431"/>
        <v>-1,05811623246493</v>
      </c>
      <c r="AS474" t="str">
        <f t="shared" si="432"/>
        <v>1+67,4530851187183i</v>
      </c>
      <c r="AT474">
        <f t="shared" si="456"/>
        <v>67.460497270869993</v>
      </c>
      <c r="AU474">
        <f t="shared" si="457"/>
        <v>1.5559722939650094</v>
      </c>
      <c r="AV474" t="str">
        <f t="shared" si="433"/>
        <v>1+67,4530851187183i</v>
      </c>
      <c r="AW474">
        <f t="shared" si="458"/>
        <v>67.460497270869993</v>
      </c>
      <c r="AX474">
        <f t="shared" si="459"/>
        <v>1.5559722939650094</v>
      </c>
      <c r="AY474" t="str">
        <f t="shared" si="434"/>
        <v>1-0,000377366660246083i</v>
      </c>
      <c r="AZ474">
        <f t="shared" si="460"/>
        <v>1.0000000712027957</v>
      </c>
      <c r="BA474">
        <f t="shared" si="461"/>
        <v>-3.7736664233304311E-4</v>
      </c>
      <c r="BB474" s="58" t="str">
        <f t="shared" si="462"/>
        <v>-0,000226587736347536+0,0156833396555055i</v>
      </c>
      <c r="BC474">
        <f t="shared" si="463"/>
        <v>-36.090322606840573</v>
      </c>
      <c r="BD474" s="60">
        <f t="shared" si="464"/>
        <v>90.827733000581205</v>
      </c>
      <c r="BE474" s="58" t="str">
        <f t="shared" si="465"/>
        <v>-0,0007285414145188-0,00323148994551926i</v>
      </c>
      <c r="BF474" s="37">
        <f t="shared" si="466"/>
        <v>-49.596627529381493</v>
      </c>
      <c r="BG474" s="60">
        <f t="shared" si="467"/>
        <v>-102.70495570403862</v>
      </c>
      <c r="BH474" s="58" t="str">
        <f t="shared" si="468"/>
        <v>0,085353538992156+0,0183872116058573i</v>
      </c>
      <c r="BI474" s="37">
        <f t="shared" si="469"/>
        <v>-21.178560679436657</v>
      </c>
      <c r="BJ474" s="60">
        <f t="shared" si="470"/>
        <v>12.157105151795305</v>
      </c>
      <c r="BK474">
        <f t="shared" si="471"/>
        <v>-49.596627529381493</v>
      </c>
      <c r="BL474" s="60">
        <f t="shared" si="472"/>
        <v>-102.70495570403862</v>
      </c>
      <c r="BN474">
        <f t="shared" si="473"/>
        <v>0</v>
      </c>
      <c r="BO474">
        <f t="shared" si="474"/>
        <v>0</v>
      </c>
    </row>
    <row r="475" spans="13:67" x14ac:dyDescent="0.25">
      <c r="M475" s="66">
        <v>57</v>
      </c>
      <c r="N475" s="36">
        <f t="shared" si="422"/>
        <v>371535.2290971732</v>
      </c>
      <c r="O475" s="91" t="str">
        <f t="shared" si="423"/>
        <v>13,7404580152672</v>
      </c>
      <c r="P475" s="67" t="str">
        <f t="shared" si="424"/>
        <v>1+2521,178667968i</v>
      </c>
      <c r="Q475" s="67">
        <f t="shared" si="435"/>
        <v>2521.1788662879312</v>
      </c>
      <c r="R475" s="67">
        <f t="shared" si="436"/>
        <v>1.5703996869374108</v>
      </c>
      <c r="S475" s="67" t="str">
        <f t="shared" si="425"/>
        <v>1+70,0327407768889i</v>
      </c>
      <c r="T475" s="67">
        <f t="shared" si="437"/>
        <v>70.03987993081455</v>
      </c>
      <c r="U475" s="67">
        <f t="shared" si="438"/>
        <v>1.5565182615128412</v>
      </c>
      <c r="V475" t="str">
        <f t="shared" si="426"/>
        <v>1-14,5901543285185i</v>
      </c>
      <c r="W475" s="67">
        <f t="shared" si="439"/>
        <v>14.624383861550788</v>
      </c>
      <c r="X475" s="67">
        <f t="shared" si="440"/>
        <v>-1.5023639788877701</v>
      </c>
      <c r="Y475" t="str">
        <f t="shared" si="427"/>
        <v>-7,83445929345851+25,3163308898304i</v>
      </c>
      <c r="Z475" s="67">
        <f t="shared" si="441"/>
        <v>26.500855875692757</v>
      </c>
      <c r="AA475" s="67">
        <f t="shared" si="442"/>
        <v>1.8709117003949689</v>
      </c>
      <c r="AB475" s="92" t="str">
        <f t="shared" si="443"/>
        <v>-0,204330158740391+0,0512097333644669i</v>
      </c>
      <c r="AC475" s="37">
        <f t="shared" si="444"/>
        <v>-13.528787558791361</v>
      </c>
      <c r="AD475" s="60">
        <f t="shared" si="445"/>
        <v>165.93019335251975</v>
      </c>
      <c r="AE475" t="str">
        <f t="shared" si="446"/>
        <v>21,0353732052265</v>
      </c>
      <c r="AF475" t="str">
        <f t="shared" si="428"/>
        <v>1+1260,589333984i</v>
      </c>
      <c r="AG475">
        <f t="shared" si="447"/>
        <v>1260.5897306238157</v>
      </c>
      <c r="AH475">
        <f t="shared" si="448"/>
        <v>1.5700030472047264</v>
      </c>
      <c r="AI475" t="str">
        <f t="shared" si="429"/>
        <v>1+70,0327407768889i</v>
      </c>
      <c r="AJ475">
        <f t="shared" si="449"/>
        <v>70.03987993081455</v>
      </c>
      <c r="AK475">
        <f t="shared" si="450"/>
        <v>1.5565182615128412</v>
      </c>
      <c r="AL475" t="str">
        <f t="shared" si="430"/>
        <v>1-4,76512444977728i</v>
      </c>
      <c r="AM475">
        <f t="shared" si="451"/>
        <v>4.8689229837680958</v>
      </c>
      <c r="AN475">
        <f t="shared" si="452"/>
        <v>-1.3639400355973801</v>
      </c>
      <c r="AO475" s="58" t="str">
        <f t="shared" si="453"/>
        <v>1,09354658659783-5,58449562349977i</v>
      </c>
      <c r="AP475">
        <f t="shared" si="454"/>
        <v>15.10309509241833</v>
      </c>
      <c r="AQ475" s="60">
        <f t="shared" si="455"/>
        <v>-78.920628856436494</v>
      </c>
      <c r="AR475" t="str">
        <f t="shared" si="431"/>
        <v>-1,05811623246493</v>
      </c>
      <c r="AS475" t="str">
        <f t="shared" si="432"/>
        <v>1+69,0242693097016i</v>
      </c>
      <c r="AT475">
        <f t="shared" si="456"/>
        <v>69.031512758581599</v>
      </c>
      <c r="AU475">
        <f t="shared" si="457"/>
        <v>1.5563096823909404</v>
      </c>
      <c r="AV475" t="str">
        <f t="shared" si="433"/>
        <v>1+69,0242693097016i</v>
      </c>
      <c r="AW475">
        <f t="shared" si="458"/>
        <v>69.031512758581599</v>
      </c>
      <c r="AX475">
        <f t="shared" si="459"/>
        <v>1.5563096823909404</v>
      </c>
      <c r="AY475" t="str">
        <f t="shared" si="434"/>
        <v>1-0,000368776746340257i</v>
      </c>
      <c r="AZ475">
        <f t="shared" si="460"/>
        <v>1.000000067998142</v>
      </c>
      <c r="BA475">
        <f t="shared" si="461"/>
        <v>-3.6877672962283537E-4</v>
      </c>
      <c r="BB475" s="58" t="str">
        <f t="shared" si="462"/>
        <v>-0,000216391748353946+0,0153264909762382i</v>
      </c>
      <c r="BC475">
        <f t="shared" si="463"/>
        <v>-36.290279683857506</v>
      </c>
      <c r="BD475" s="60">
        <f t="shared" si="464"/>
        <v>90.808894233463477</v>
      </c>
      <c r="BE475" s="58" t="str">
        <f t="shared" si="465"/>
        <v>-0,000740650156014794-0,0031427456978434i</v>
      </c>
      <c r="BF475" s="37">
        <f t="shared" si="466"/>
        <v>-49.81906724264887</v>
      </c>
      <c r="BG475" s="60">
        <f t="shared" si="467"/>
        <v>-103.26091241401679</v>
      </c>
      <c r="BH475" s="58" t="str">
        <f t="shared" si="468"/>
        <v>0,0853540873226305+0,0179686706632318i</v>
      </c>
      <c r="BI475" s="37">
        <f t="shared" si="469"/>
        <v>-21.187184591439184</v>
      </c>
      <c r="BJ475" s="60">
        <f t="shared" si="470"/>
        <v>11.888265377026988</v>
      </c>
      <c r="BK475">
        <f t="shared" si="471"/>
        <v>-49.81906724264887</v>
      </c>
      <c r="BL475" s="60">
        <f t="shared" si="472"/>
        <v>-103.26091241401679</v>
      </c>
      <c r="BN475">
        <f t="shared" si="473"/>
        <v>0</v>
      </c>
      <c r="BO475">
        <f t="shared" si="474"/>
        <v>0</v>
      </c>
    </row>
    <row r="476" spans="13:67" x14ac:dyDescent="0.25">
      <c r="M476" s="66">
        <v>58</v>
      </c>
      <c r="N476" s="36">
        <f t="shared" si="422"/>
        <v>380189.39632056188</v>
      </c>
      <c r="O476" s="91" t="str">
        <f t="shared" si="423"/>
        <v>13,7404580152672</v>
      </c>
      <c r="P476" s="67" t="str">
        <f t="shared" si="424"/>
        <v>1+2579,90446321938i</v>
      </c>
      <c r="Q476" s="67">
        <f t="shared" si="435"/>
        <v>2579.9046570249984</v>
      </c>
      <c r="R476" s="67">
        <f t="shared" si="436"/>
        <v>1.5704087155619322</v>
      </c>
      <c r="S476" s="67" t="str">
        <f t="shared" si="425"/>
        <v>1+71,664012867205i</v>
      </c>
      <c r="T476" s="67">
        <f t="shared" si="437"/>
        <v>71.670989530150379</v>
      </c>
      <c r="U476" s="67">
        <f t="shared" si="438"/>
        <v>1.556843227284799</v>
      </c>
      <c r="V476" t="str">
        <f t="shared" si="426"/>
        <v>1-14,9300026806677i</v>
      </c>
      <c r="W476" s="67">
        <f t="shared" si="439"/>
        <v>14.963454816476865</v>
      </c>
      <c r="X476" s="67">
        <f t="shared" si="440"/>
        <v>-1.5039169947391837</v>
      </c>
      <c r="Y476" t="str">
        <f t="shared" si="427"/>
        <v>-8,25081453277398+25,9060239898242i</v>
      </c>
      <c r="Z476" s="67">
        <f t="shared" si="441"/>
        <v>27.188196325162526</v>
      </c>
      <c r="AA476" s="67">
        <f t="shared" si="442"/>
        <v>1.8791291063583997</v>
      </c>
      <c r="AB476" s="92" t="str">
        <f t="shared" si="443"/>
        <v>-0,203289317255956+0,0529965073917459i</v>
      </c>
      <c r="AC476" s="37">
        <f t="shared" si="444"/>
        <v>-13.5521513420363</v>
      </c>
      <c r="AD476" s="60">
        <f t="shared" si="445"/>
        <v>165.38849128360613</v>
      </c>
      <c r="AE476" t="str">
        <f t="shared" si="446"/>
        <v>21,0353732052265</v>
      </c>
      <c r="AF476" t="str">
        <f t="shared" si="428"/>
        <v>1+1289,95223160969i</v>
      </c>
      <c r="AG476">
        <f t="shared" si="447"/>
        <v>1289.9526192208841</v>
      </c>
      <c r="AH476">
        <f t="shared" si="448"/>
        <v>1.5700211044454389</v>
      </c>
      <c r="AI476" t="str">
        <f t="shared" si="429"/>
        <v>1+71,664012867205i</v>
      </c>
      <c r="AJ476">
        <f t="shared" si="449"/>
        <v>71.670989530150379</v>
      </c>
      <c r="AK476">
        <f t="shared" si="450"/>
        <v>1.556843227284799</v>
      </c>
      <c r="AL476" t="str">
        <f t="shared" si="430"/>
        <v>1-4,87611845680278i</v>
      </c>
      <c r="AM476">
        <f t="shared" si="451"/>
        <v>4.9776029577270151</v>
      </c>
      <c r="AN476">
        <f t="shared" si="452"/>
        <v>-1.3685198501385178</v>
      </c>
      <c r="AO476" s="58" t="str">
        <f t="shared" si="453"/>
        <v>1,09354602178899-5,71384666053736i</v>
      </c>
      <c r="AP476">
        <f t="shared" si="454"/>
        <v>15.294802307105673</v>
      </c>
      <c r="AQ476" s="60">
        <f t="shared" si="455"/>
        <v>-79.165448337059516</v>
      </c>
      <c r="AR476" t="str">
        <f t="shared" si="431"/>
        <v>-1,05811623246493</v>
      </c>
      <c r="AS476" t="str">
        <f t="shared" si="432"/>
        <v>1+70,6320510819172i</v>
      </c>
      <c r="AT476">
        <f t="shared" si="456"/>
        <v>70.639129666485545</v>
      </c>
      <c r="AU476">
        <f t="shared" si="457"/>
        <v>1.5566393941057983</v>
      </c>
      <c r="AV476" t="str">
        <f t="shared" si="433"/>
        <v>1+70,6320510819172i</v>
      </c>
      <c r="AW476">
        <f t="shared" si="458"/>
        <v>70.639129666485545</v>
      </c>
      <c r="AX476">
        <f t="shared" si="459"/>
        <v>1.5566393941057983</v>
      </c>
      <c r="AY476" t="str">
        <f t="shared" si="434"/>
        <v>1-0,000360382362746679i</v>
      </c>
      <c r="AZ476">
        <f t="shared" si="460"/>
        <v>1.0000000649377216</v>
      </c>
      <c r="BA476">
        <f t="shared" si="461"/>
        <v>-3.6038234714507334E-4</v>
      </c>
      <c r="BB476" s="58" t="str">
        <f t="shared" si="462"/>
        <v>-0,000206654467148675+0,0149777553078679i</v>
      </c>
      <c r="BC476">
        <f t="shared" si="463"/>
        <v>-36.490238692330401</v>
      </c>
      <c r="BD476" s="60">
        <f t="shared" si="464"/>
        <v>90.790484106433681</v>
      </c>
      <c r="BE476" s="58" t="str">
        <f t="shared" si="465"/>
        <v>-0,000751758074350635-0,00305576961555902i</v>
      </c>
      <c r="BF476" s="37">
        <f t="shared" si="466"/>
        <v>-50.042390034366697</v>
      </c>
      <c r="BG476" s="60">
        <f t="shared" si="467"/>
        <v>-103.82102460996018</v>
      </c>
      <c r="BH476" s="58" t="str">
        <f t="shared" si="468"/>
        <v>0,0853546109777714+0,0175596566692505i</v>
      </c>
      <c r="BI476" s="37">
        <f t="shared" si="469"/>
        <v>-21.195436385224721</v>
      </c>
      <c r="BJ476" s="60">
        <f t="shared" si="470"/>
        <v>11.625035769374202</v>
      </c>
      <c r="BK476">
        <f t="shared" si="471"/>
        <v>-50.042390034366697</v>
      </c>
      <c r="BL476" s="60">
        <f t="shared" si="472"/>
        <v>-103.82102460996018</v>
      </c>
      <c r="BN476">
        <f t="shared" si="473"/>
        <v>0</v>
      </c>
      <c r="BO476">
        <f t="shared" si="474"/>
        <v>0</v>
      </c>
    </row>
    <row r="477" spans="13:67" x14ac:dyDescent="0.25">
      <c r="M477" s="66">
        <v>59</v>
      </c>
      <c r="N477" s="36">
        <f t="shared" si="422"/>
        <v>389045.14499428123</v>
      </c>
      <c r="O477" s="91" t="str">
        <f t="shared" si="423"/>
        <v>13,7404580152672</v>
      </c>
      <c r="P477" s="67" t="str">
        <f t="shared" si="424"/>
        <v>1+2639,99815796623i</v>
      </c>
      <c r="Q477" s="67">
        <f t="shared" si="435"/>
        <v>2639.9983473602942</v>
      </c>
      <c r="R477" s="67">
        <f t="shared" si="436"/>
        <v>1.5704175386699293</v>
      </c>
      <c r="S477" s="67" t="str">
        <f t="shared" si="425"/>
        <v>1+73,3332821657287i</v>
      </c>
      <c r="T477" s="67">
        <f t="shared" si="437"/>
        <v>73.340100035372089</v>
      </c>
      <c r="U477" s="67">
        <f t="shared" si="438"/>
        <v>1.5571607987805192</v>
      </c>
      <c r="V477" t="str">
        <f t="shared" si="426"/>
        <v>1-15,2777671178601i</v>
      </c>
      <c r="W477" s="67">
        <f t="shared" si="439"/>
        <v>15.310459434895064</v>
      </c>
      <c r="X477" s="67">
        <f t="shared" si="440"/>
        <v>-1.5054349718937221</v>
      </c>
      <c r="Y477" t="str">
        <f t="shared" si="427"/>
        <v>-8,68679198999178+26,5094528066442i</v>
      </c>
      <c r="Z477" s="67">
        <f t="shared" si="441"/>
        <v>27.896441407195319</v>
      </c>
      <c r="AA477" s="67">
        <f t="shared" si="442"/>
        <v>1.8874562255010638</v>
      </c>
      <c r="AB477" s="92" t="str">
        <f t="shared" si="443"/>
        <v>-0,202208672691111+0,0547793693963199i</v>
      </c>
      <c r="AC477" s="37">
        <f t="shared" si="444"/>
        <v>-13.576430613651736</v>
      </c>
      <c r="AD477" s="60">
        <f t="shared" si="445"/>
        <v>164.84209879642449</v>
      </c>
      <c r="AE477" t="str">
        <f t="shared" si="446"/>
        <v>21,0353732052265</v>
      </c>
      <c r="AF477" t="str">
        <f t="shared" si="428"/>
        <v>1+1319,99907898312i</v>
      </c>
      <c r="AG477">
        <f t="shared" si="447"/>
        <v>1319.9994577712087</v>
      </c>
      <c r="AH477">
        <f t="shared" si="448"/>
        <v>1.5700387506536593</v>
      </c>
      <c r="AI477" t="str">
        <f t="shared" si="429"/>
        <v>1+73,3332821657287i</v>
      </c>
      <c r="AJ477">
        <f t="shared" si="449"/>
        <v>73.340100035372089</v>
      </c>
      <c r="AK477">
        <f t="shared" si="450"/>
        <v>1.5571607987805192</v>
      </c>
      <c r="AL477" t="str">
        <f t="shared" si="430"/>
        <v>1-4,98969784637713i</v>
      </c>
      <c r="AM477">
        <f t="shared" si="451"/>
        <v>5.0889178219087574</v>
      </c>
      <c r="AN477">
        <f t="shared" si="452"/>
        <v>-1.3730037437121985</v>
      </c>
      <c r="AO477" s="58" t="str">
        <f t="shared" si="453"/>
        <v>1,09354548240072-5,84622725466662i</v>
      </c>
      <c r="AP477">
        <f t="shared" si="454"/>
        <v>15.486868090556809</v>
      </c>
      <c r="AQ477" s="60">
        <f t="shared" si="455"/>
        <v>-79.405172061474175</v>
      </c>
      <c r="AR477" t="str">
        <f t="shared" si="431"/>
        <v>-1,05811623246493</v>
      </c>
      <c r="AS477" t="str">
        <f t="shared" si="432"/>
        <v>1+72,2772829025421i</v>
      </c>
      <c r="AT477">
        <f t="shared" si="456"/>
        <v>72.284200374453235</v>
      </c>
      <c r="AU477">
        <f t="shared" si="457"/>
        <v>1.5569616036401914</v>
      </c>
      <c r="AV477" t="str">
        <f t="shared" si="433"/>
        <v>1+72,2772829025421i</v>
      </c>
      <c r="AW477">
        <f t="shared" si="458"/>
        <v>72.284200374453235</v>
      </c>
      <c r="AX477">
        <f t="shared" si="459"/>
        <v>1.5569616036401914</v>
      </c>
      <c r="AY477" t="str">
        <f t="shared" si="434"/>
        <v>1-0,000352179058652054i</v>
      </c>
      <c r="AZ477">
        <f t="shared" si="460"/>
        <v>1.0000000620150427</v>
      </c>
      <c r="BA477">
        <f t="shared" si="461"/>
        <v>-3.5217904409178837E-4</v>
      </c>
      <c r="BB477" s="58" t="str">
        <f t="shared" si="462"/>
        <v>-0,000197355264085748+0,0146369486333255i</v>
      </c>
      <c r="BC477">
        <f t="shared" si="463"/>
        <v>-36.690199545364266</v>
      </c>
      <c r="BD477" s="60">
        <f t="shared" si="464"/>
        <v>90.772492874637095</v>
      </c>
      <c r="BE477" s="58" t="str">
        <f t="shared" si="465"/>
        <v>-0,000761895870020514-0,00297052895230638i</v>
      </c>
      <c r="BF477" s="37">
        <f t="shared" si="466"/>
        <v>-50.26663015901601</v>
      </c>
      <c r="BG477" s="60">
        <f t="shared" si="467"/>
        <v>-104.38540832893838</v>
      </c>
      <c r="BH477" s="58" t="str">
        <f t="shared" si="468"/>
        <v>0,0853551110678339+0,0171599527778545i</v>
      </c>
      <c r="BI477" s="37">
        <f t="shared" si="469"/>
        <v>-21.203331454807461</v>
      </c>
      <c r="BJ477" s="60">
        <f t="shared" si="470"/>
        <v>11.367320813162925</v>
      </c>
      <c r="BK477">
        <f t="shared" si="471"/>
        <v>-50.26663015901601</v>
      </c>
      <c r="BL477" s="60">
        <f t="shared" si="472"/>
        <v>-104.38540832893838</v>
      </c>
      <c r="BN477">
        <f t="shared" si="473"/>
        <v>0</v>
      </c>
      <c r="BO477">
        <f t="shared" si="474"/>
        <v>0</v>
      </c>
    </row>
    <row r="478" spans="13:67" x14ac:dyDescent="0.25">
      <c r="M478" s="66">
        <v>60</v>
      </c>
      <c r="N478" s="36">
        <f t="shared" si="422"/>
        <v>398107.17055349716</v>
      </c>
      <c r="O478" s="91" t="str">
        <f t="shared" si="423"/>
        <v>13,7404580152672</v>
      </c>
      <c r="P478" s="67" t="str">
        <f t="shared" si="424"/>
        <v>1+2701,49161468094i</v>
      </c>
      <c r="Q478" s="67">
        <f t="shared" si="435"/>
        <v>2701.4917997638699</v>
      </c>
      <c r="R478" s="67">
        <f t="shared" si="436"/>
        <v>1.5704261609395258</v>
      </c>
      <c r="S478" s="67" t="str">
        <f t="shared" si="425"/>
        <v>1+75,0414337411372i</v>
      </c>
      <c r="T478" s="67">
        <f t="shared" si="437"/>
        <v>75.048096431058696</v>
      </c>
      <c r="U478" s="67">
        <f t="shared" si="438"/>
        <v>1.5574711441242444</v>
      </c>
      <c r="V478" t="str">
        <f t="shared" si="426"/>
        <v>1-15,6336320294036i</v>
      </c>
      <c r="W478" s="67">
        <f t="shared" si="439"/>
        <v>15.665581713769651</v>
      </c>
      <c r="X478" s="67">
        <f t="shared" si="440"/>
        <v>-1.5069186872047653</v>
      </c>
      <c r="Y478" t="str">
        <f t="shared" si="427"/>
        <v>-9,1433164317511+27,1269372862363i</v>
      </c>
      <c r="Z478" s="67">
        <f t="shared" si="441"/>
        <v>28.626403230278978</v>
      </c>
      <c r="AA478" s="67">
        <f t="shared" si="442"/>
        <v>1.8958941752561322</v>
      </c>
      <c r="AB478" s="92" t="str">
        <f t="shared" si="443"/>
        <v>-0,201087404395576+0,0565575195221954i</v>
      </c>
      <c r="AC478" s="37">
        <f t="shared" si="444"/>
        <v>-13.601660426463123</v>
      </c>
      <c r="AD478" s="60">
        <f t="shared" si="445"/>
        <v>164.29091672112332</v>
      </c>
      <c r="AE478" t="str">
        <f t="shared" si="446"/>
        <v>21,0353732052265</v>
      </c>
      <c r="AF478" t="str">
        <f t="shared" si="428"/>
        <v>1+1350,74580734047i</v>
      </c>
      <c r="AG478">
        <f t="shared" si="447"/>
        <v>1350.7461775062916</v>
      </c>
      <c r="AH478">
        <f t="shared" si="448"/>
        <v>1.570055995185597</v>
      </c>
      <c r="AI478" t="str">
        <f t="shared" si="429"/>
        <v>1+75,0414337411372i</v>
      </c>
      <c r="AJ478">
        <f t="shared" si="449"/>
        <v>75.048096431058696</v>
      </c>
      <c r="AK478">
        <f t="shared" si="450"/>
        <v>1.5574711441242444</v>
      </c>
      <c r="AL478" t="str">
        <f t="shared" si="430"/>
        <v>1-5,10592283979607i</v>
      </c>
      <c r="AM478">
        <f t="shared" si="451"/>
        <v>5.2029268730159144</v>
      </c>
      <c r="AN478">
        <f t="shared" si="452"/>
        <v>-1.377393372196114</v>
      </c>
      <c r="AO478" s="58" t="str">
        <f t="shared" si="453"/>
        <v>1,09354496728889-5,98170759583348i</v>
      </c>
      <c r="AP478">
        <f t="shared" si="454"/>
        <v>15.679277546385155</v>
      </c>
      <c r="AQ478" s="60">
        <f t="shared" si="455"/>
        <v>-79.639885807745657</v>
      </c>
      <c r="AR478" t="str">
        <f t="shared" si="431"/>
        <v>-1,05811623246493</v>
      </c>
      <c r="AS478" t="str">
        <f t="shared" si="432"/>
        <v>1+73,9608370952648i</v>
      </c>
      <c r="AT478">
        <f t="shared" si="456"/>
        <v>73.967597120849462</v>
      </c>
      <c r="AU478">
        <f t="shared" si="457"/>
        <v>1.557276481566114</v>
      </c>
      <c r="AV478" t="str">
        <f t="shared" si="433"/>
        <v>1+73,9608370952648i</v>
      </c>
      <c r="AW478">
        <f t="shared" si="458"/>
        <v>73.967597120849462</v>
      </c>
      <c r="AX478">
        <f t="shared" si="459"/>
        <v>1.557276481566114</v>
      </c>
      <c r="AY478" t="str">
        <f t="shared" si="434"/>
        <v>1-0,000344162484555967i</v>
      </c>
      <c r="AZ478">
        <f t="shared" si="460"/>
        <v>1.0000000592239062</v>
      </c>
      <c r="BA478">
        <f t="shared" si="461"/>
        <v>-3.4416247096753642E-4</v>
      </c>
      <c r="BB478" s="58" t="str">
        <f t="shared" si="462"/>
        <v>-0,000188474437504701+0,014303891080421i</v>
      </c>
      <c r="BC478">
        <f t="shared" si="463"/>
        <v>-36.890162159971979</v>
      </c>
      <c r="BD478" s="60">
        <f t="shared" si="464"/>
        <v>90.754911014226096</v>
      </c>
      <c r="BE478" s="58" t="str">
        <f t="shared" si="465"/>
        <v>-0,000771092763591531-0,0028869919767975i</v>
      </c>
      <c r="BF478" s="37">
        <f t="shared" si="466"/>
        <v>-50.491822586435092</v>
      </c>
      <c r="BG478" s="60">
        <f t="shared" si="467"/>
        <v>-104.95417226465058</v>
      </c>
      <c r="BH478" s="58" t="str">
        <f t="shared" si="468"/>
        <v>0,0853555886531332+0,0167693470780851i</v>
      </c>
      <c r="BI478" s="37">
        <f t="shared" si="469"/>
        <v>-21.210884613586821</v>
      </c>
      <c r="BJ478" s="60">
        <f t="shared" si="470"/>
        <v>11.115025206480412</v>
      </c>
      <c r="BK478">
        <f t="shared" si="471"/>
        <v>-50.491822586435092</v>
      </c>
      <c r="BL478" s="60">
        <f t="shared" si="472"/>
        <v>-104.95417226465058</v>
      </c>
      <c r="BN478">
        <f t="shared" si="473"/>
        <v>0</v>
      </c>
      <c r="BO478">
        <f t="shared" si="474"/>
        <v>0</v>
      </c>
    </row>
    <row r="479" spans="13:67" x14ac:dyDescent="0.25">
      <c r="M479" s="66">
        <v>61</v>
      </c>
      <c r="N479" s="36">
        <f t="shared" si="422"/>
        <v>407380.27780411334</v>
      </c>
      <c r="O479" s="91" t="str">
        <f t="shared" si="423"/>
        <v>13,7404580152672</v>
      </c>
      <c r="P479" s="67" t="str">
        <f t="shared" si="424"/>
        <v>1+2764,41743800822i</v>
      </c>
      <c r="Q479" s="67">
        <f t="shared" si="435"/>
        <v>2764.417618878148</v>
      </c>
      <c r="R479" s="67">
        <f t="shared" si="436"/>
        <v>1.5704345869423575</v>
      </c>
      <c r="S479" s="67" t="str">
        <f t="shared" si="425"/>
        <v>1+76,7893732780063i</v>
      </c>
      <c r="T479" s="67">
        <f t="shared" si="437"/>
        <v>76.795884319597405</v>
      </c>
      <c r="U479" s="67">
        <f t="shared" si="438"/>
        <v>1.5577744276259211</v>
      </c>
      <c r="V479" t="str">
        <f t="shared" si="426"/>
        <v>1-15,9977860995846i</v>
      </c>
      <c r="W479" s="67">
        <f t="shared" si="439"/>
        <v>16.029009953458203</v>
      </c>
      <c r="X479" s="67">
        <f t="shared" si="440"/>
        <v>-1.5083689012129464</v>
      </c>
      <c r="Y479" t="str">
        <f t="shared" si="427"/>
        <v>-9,6213562076004+27,7588048270452i</v>
      </c>
      <c r="Z479" s="67">
        <f t="shared" si="441"/>
        <v>29.378933620870562</v>
      </c>
      <c r="AA479" s="67">
        <f t="shared" si="442"/>
        <v>1.9044439551534671</v>
      </c>
      <c r="AB479" s="92" t="str">
        <f t="shared" si="443"/>
        <v>-0,19992471207882+0,0583300858548143i</v>
      </c>
      <c r="AC479" s="37">
        <f t="shared" si="444"/>
        <v>-13.627876529185109</v>
      </c>
      <c r="AD479" s="60">
        <f t="shared" si="445"/>
        <v>163.73485336542225</v>
      </c>
      <c r="AE479" t="str">
        <f t="shared" si="446"/>
        <v>21,0353732052265</v>
      </c>
      <c r="AF479" t="str">
        <f t="shared" si="428"/>
        <v>1+1382,20871900411i</v>
      </c>
      <c r="AG479">
        <f t="shared" si="447"/>
        <v>1382.2090807439308</v>
      </c>
      <c r="AH479">
        <f t="shared" si="448"/>
        <v>1.57007284718449</v>
      </c>
      <c r="AI479" t="str">
        <f t="shared" si="429"/>
        <v>1+76,7893732780063i</v>
      </c>
      <c r="AJ479">
        <f t="shared" si="449"/>
        <v>76.795884319597405</v>
      </c>
      <c r="AK479">
        <f t="shared" si="450"/>
        <v>1.5577744276259211</v>
      </c>
      <c r="AL479" t="str">
        <f t="shared" si="430"/>
        <v>1-5,22485506108957i</v>
      </c>
      <c r="AM479">
        <f t="shared" si="451"/>
        <v>5.319690818966202</v>
      </c>
      <c r="AN479">
        <f t="shared" si="452"/>
        <v>-1.3816903860415644</v>
      </c>
      <c r="AO479" s="58" t="str">
        <f t="shared" si="453"/>
        <v>1,09354447536088-6,12035951751061i</v>
      </c>
      <c r="AP479">
        <f t="shared" si="454"/>
        <v>15.87201634544606</v>
      </c>
      <c r="AQ479" s="60">
        <f t="shared" si="455"/>
        <v>-79.869675249370218</v>
      </c>
      <c r="AR479" t="str">
        <f t="shared" si="431"/>
        <v>-1,05811623246493</v>
      </c>
      <c r="AS479" t="str">
        <f t="shared" si="432"/>
        <v>1+75,6836063028029i</v>
      </c>
      <c r="AT479">
        <f t="shared" si="456"/>
        <v>75.690212465005459</v>
      </c>
      <c r="AU479">
        <f t="shared" si="457"/>
        <v>1.5575841945861106</v>
      </c>
      <c r="AV479" t="str">
        <f t="shared" si="433"/>
        <v>1+75,6836063028029i</v>
      </c>
      <c r="AW479">
        <f t="shared" si="458"/>
        <v>75.690212465005459</v>
      </c>
      <c r="AX479">
        <f t="shared" si="459"/>
        <v>1.5575841945861106</v>
      </c>
      <c r="AY479" t="str">
        <f t="shared" si="434"/>
        <v>1-0,00033632838996472i</v>
      </c>
      <c r="AZ479">
        <f t="shared" si="460"/>
        <v>1.0000000565583913</v>
      </c>
      <c r="BA479">
        <f t="shared" si="461"/>
        <v>-3.3632837728325872E-4</v>
      </c>
      <c r="BB479" s="58" t="str">
        <f t="shared" si="462"/>
        <v>-0,000179993171137425+0,0139784068304183i</v>
      </c>
      <c r="BC479">
        <f t="shared" si="463"/>
        <v>-37.090126456898787</v>
      </c>
      <c r="BD479" s="60">
        <f t="shared" si="464"/>
        <v>90.737729217383489</v>
      </c>
      <c r="BE479" s="58" t="str">
        <f t="shared" si="465"/>
        <v>-0,000779376587616019-0,00280512797801772i</v>
      </c>
      <c r="BF479" s="37">
        <f t="shared" si="466"/>
        <v>-50.718002986083881</v>
      </c>
      <c r="BG479" s="60">
        <f t="shared" si="467"/>
        <v>-105.52741741719424</v>
      </c>
      <c r="BH479" s="58" t="str">
        <f t="shared" si="468"/>
        <v>0,085356044746286+0,0163876324818086i</v>
      </c>
      <c r="BI479" s="37">
        <f t="shared" si="469"/>
        <v>-21.218110111452717</v>
      </c>
      <c r="BJ479" s="60">
        <f t="shared" si="470"/>
        <v>10.868053968013287</v>
      </c>
      <c r="BK479">
        <f t="shared" si="471"/>
        <v>-50.718002986083881</v>
      </c>
      <c r="BL479" s="60">
        <f t="shared" si="472"/>
        <v>-105.52741741719424</v>
      </c>
      <c r="BN479">
        <f t="shared" si="473"/>
        <v>0</v>
      </c>
      <c r="BO479">
        <f t="shared" si="474"/>
        <v>0</v>
      </c>
    </row>
    <row r="480" spans="13:67" x14ac:dyDescent="0.25">
      <c r="M480" s="66">
        <v>62</v>
      </c>
      <c r="N480" s="36">
        <f t="shared" si="422"/>
        <v>416869.38347033598</v>
      </c>
      <c r="O480" s="91" t="str">
        <f t="shared" si="423"/>
        <v>13,7404580152672</v>
      </c>
      <c r="P480" s="67" t="str">
        <f t="shared" si="424"/>
        <v>1+2828,80899205254i</v>
      </c>
      <c r="Q480" s="67">
        <f t="shared" si="435"/>
        <v>2828.809168805366</v>
      </c>
      <c r="R480" s="67">
        <f t="shared" si="436"/>
        <v>1.5704428211459984</v>
      </c>
      <c r="S480" s="67" t="str">
        <f t="shared" si="425"/>
        <v>1+78,578027557015i</v>
      </c>
      <c r="T480" s="67">
        <f t="shared" si="437"/>
        <v>78.584390401345033</v>
      </c>
      <c r="U480" s="67">
        <f t="shared" si="438"/>
        <v>1.5580708098671781</v>
      </c>
      <c r="V480" t="str">
        <f t="shared" si="426"/>
        <v>1-16,3704224077114i</v>
      </c>
      <c r="W480" s="67">
        <f t="shared" si="439"/>
        <v>16.400936857597479</v>
      </c>
      <c r="X480" s="67">
        <f t="shared" si="440"/>
        <v>-1.5097863584273681</v>
      </c>
      <c r="Y480" t="str">
        <f t="shared" si="427"/>
        <v>-10,1219253039961+28,4053904536045i</v>
      </c>
      <c r="Z480" s="67">
        <f t="shared" si="441"/>
        <v>30.154926275509315</v>
      </c>
      <c r="AA480" s="67">
        <f t="shared" si="442"/>
        <v>1.9131064403165687</v>
      </c>
      <c r="AB480" s="92" t="str">
        <f t="shared" si="443"/>
        <v>-0,198719820259528+0,0600961235926851i</v>
      </c>
      <c r="AC480" s="37">
        <f t="shared" si="444"/>
        <v>-13.655115347097109</v>
      </c>
      <c r="AD480" s="60">
        <f t="shared" si="445"/>
        <v>163.17382487588549</v>
      </c>
      <c r="AE480" t="str">
        <f t="shared" si="446"/>
        <v>21,0353732052265</v>
      </c>
      <c r="AF480" t="str">
        <f t="shared" si="428"/>
        <v>1+1414,40449602627i</v>
      </c>
      <c r="AG480">
        <f t="shared" si="447"/>
        <v>1414.4048495318893</v>
      </c>
      <c r="AH480">
        <f t="shared" si="448"/>
        <v>1.5700893155854527</v>
      </c>
      <c r="AI480" t="str">
        <f t="shared" si="429"/>
        <v>1+78,578027557015i</v>
      </c>
      <c r="AJ480">
        <f t="shared" si="449"/>
        <v>78.584390401345033</v>
      </c>
      <c r="AK480">
        <f t="shared" si="450"/>
        <v>1.5580708098671781</v>
      </c>
      <c r="AL480" t="str">
        <f t="shared" si="430"/>
        <v>1-5,3465575696956i</v>
      </c>
      <c r="AM480">
        <f t="shared" si="451"/>
        <v>5.4392718121150478</v>
      </c>
      <c r="AN480">
        <f t="shared" si="452"/>
        <v>-1.3858964285443769</v>
      </c>
      <c r="AO480" s="58" t="str">
        <f t="shared" si="453"/>
        <v>1,09354400557326-6,26225653478439i</v>
      </c>
      <c r="AP480">
        <f t="shared" si="454"/>
        <v>16.065070708641947</v>
      </c>
      <c r="AQ480" s="60">
        <f t="shared" si="455"/>
        <v>-80.094625851557836</v>
      </c>
      <c r="AR480" t="str">
        <f t="shared" si="431"/>
        <v>-1,05811623246493</v>
      </c>
      <c r="AS480" t="str">
        <f t="shared" si="432"/>
        <v>1+77,4465039601939i</v>
      </c>
      <c r="AT480">
        <f t="shared" si="456"/>
        <v>77.45295976046576</v>
      </c>
      <c r="AU480">
        <f t="shared" si="457"/>
        <v>1.5578849056204715</v>
      </c>
      <c r="AV480" t="str">
        <f t="shared" si="433"/>
        <v>1+77,4465039601939i</v>
      </c>
      <c r="AW480">
        <f t="shared" si="458"/>
        <v>77.45295976046576</v>
      </c>
      <c r="AX480">
        <f t="shared" si="459"/>
        <v>1.5578849056204715</v>
      </c>
      <c r="AY480" t="str">
        <f t="shared" si="434"/>
        <v>1-0,000328672621137665i</v>
      </c>
      <c r="AZ480">
        <f t="shared" si="460"/>
        <v>1.0000000540128444</v>
      </c>
      <c r="BA480">
        <f t="shared" si="461"/>
        <v>-3.2867260930263668E-4</v>
      </c>
      <c r="BB480" s="58" t="str">
        <f t="shared" si="462"/>
        <v>-0,000171893494375772+0,0136603240284974i</v>
      </c>
      <c r="BC480">
        <f t="shared" si="463"/>
        <v>-37.290092360454167</v>
      </c>
      <c r="BD480" s="60">
        <f t="shared" si="464"/>
        <v>90.720938387455803</v>
      </c>
      <c r="BE480" s="58" t="str">
        <f t="shared" si="465"/>
        <v>-0,00078677387682657-0,0027249072683127i</v>
      </c>
      <c r="BF480" s="37">
        <f t="shared" si="466"/>
        <v>-50.945207707551276</v>
      </c>
      <c r="BG480" s="60">
        <f t="shared" si="467"/>
        <v>-106.10523673665871</v>
      </c>
      <c r="BH480" s="58" t="str">
        <f t="shared" si="468"/>
        <v>0,0853564803143584+0,0160146066139933i</v>
      </c>
      <c r="BI480" s="37">
        <f t="shared" si="469"/>
        <v>-21.22502165181222</v>
      </c>
      <c r="BJ480" s="60">
        <f t="shared" si="470"/>
        <v>10.62631253589797</v>
      </c>
      <c r="BK480">
        <f t="shared" si="471"/>
        <v>-50.945207707551276</v>
      </c>
      <c r="BL480" s="60">
        <f t="shared" si="472"/>
        <v>-106.10523673665871</v>
      </c>
      <c r="BN480">
        <f t="shared" si="473"/>
        <v>0</v>
      </c>
      <c r="BO480">
        <f t="shared" si="474"/>
        <v>0</v>
      </c>
    </row>
    <row r="481" spans="13:67" x14ac:dyDescent="0.25">
      <c r="M481" s="66">
        <v>63</v>
      </c>
      <c r="N481" s="36">
        <f t="shared" si="422"/>
        <v>426579.51880159322</v>
      </c>
      <c r="O481" s="91" t="str">
        <f t="shared" si="423"/>
        <v>13,7404580152672</v>
      </c>
      <c r="P481" s="67" t="str">
        <f t="shared" si="424"/>
        <v>1+2894,70041806814i</v>
      </c>
      <c r="Q481" s="67">
        <f t="shared" si="435"/>
        <v>2894.7005907975808</v>
      </c>
      <c r="R481" s="67">
        <f t="shared" si="436"/>
        <v>1.5704508679163276</v>
      </c>
      <c r="S481" s="67" t="str">
        <f t="shared" si="425"/>
        <v>1+80,4083449463374i</v>
      </c>
      <c r="T481" s="67">
        <f t="shared" si="437"/>
        <v>80.414562965977623</v>
      </c>
      <c r="U481" s="67">
        <f t="shared" si="438"/>
        <v>1.5583604477854032</v>
      </c>
      <c r="V481" t="str">
        <f t="shared" si="426"/>
        <v>1-16,7517385304869i</v>
      </c>
      <c r="W481" s="67">
        <f t="shared" si="439"/>
        <v>16.781559635319937</v>
      </c>
      <c r="X481" s="67">
        <f t="shared" si="440"/>
        <v>-1.5111717876062774</v>
      </c>
      <c r="Y481" t="str">
        <f t="shared" si="427"/>
        <v>-10,646085495104+29,0670369941721i</v>
      </c>
      <c r="Z481" s="67">
        <f t="shared" si="441"/>
        <v>30.955319025809331</v>
      </c>
      <c r="AA481" s="67">
        <f t="shared" si="442"/>
        <v>1.921882374875802</v>
      </c>
      <c r="AB481" s="92" t="str">
        <f t="shared" si="443"/>
        <v>-0,197471982934944+0,0618546144710742i</v>
      </c>
      <c r="AC481" s="37">
        <f t="shared" si="444"/>
        <v>-13.683413958760722</v>
      </c>
      <c r="AD481" s="60">
        <f t="shared" si="445"/>
        <v>162.60775560391528</v>
      </c>
      <c r="AE481" t="str">
        <f t="shared" si="446"/>
        <v>21,0353732052265</v>
      </c>
      <c r="AF481" t="str">
        <f t="shared" si="428"/>
        <v>1+1447,35020903407i</v>
      </c>
      <c r="AG481">
        <f t="shared" si="447"/>
        <v>1447.3505544929212</v>
      </c>
      <c r="AH481">
        <f t="shared" si="448"/>
        <v>1.5701054091202138</v>
      </c>
      <c r="AI481" t="str">
        <f t="shared" si="429"/>
        <v>1+80,4083449463374i</v>
      </c>
      <c r="AJ481">
        <f t="shared" si="449"/>
        <v>80.414562965977623</v>
      </c>
      <c r="AK481">
        <f t="shared" si="450"/>
        <v>1.5583604477854032</v>
      </c>
      <c r="AL481" t="str">
        <f t="shared" si="430"/>
        <v>1-5,47109489389513i</v>
      </c>
      <c r="AM481">
        <f t="shared" si="451"/>
        <v>5.5617334831871759</v>
      </c>
      <c r="AN481">
        <f t="shared" si="452"/>
        <v>-1.3900131342488404</v>
      </c>
      <c r="AO481" s="58" t="str">
        <f t="shared" si="453"/>
        <v>1,09354355692954-6,40747388333379i</v>
      </c>
      <c r="AP481">
        <f t="shared" si="454"/>
        <v>16.258427389858568</v>
      </c>
      <c r="AQ481" s="60">
        <f t="shared" si="455"/>
        <v>-80.314822775239065</v>
      </c>
      <c r="AR481" t="str">
        <f t="shared" si="431"/>
        <v>-1,05811623246493</v>
      </c>
      <c r="AS481" t="str">
        <f t="shared" si="432"/>
        <v>1+79,2504647791101i</v>
      </c>
      <c r="AT481">
        <f t="shared" si="456"/>
        <v>79.256773639260444</v>
      </c>
      <c r="AU481">
        <f t="shared" si="457"/>
        <v>1.5581787738925033</v>
      </c>
      <c r="AV481" t="str">
        <f t="shared" si="433"/>
        <v>1+79,2504647791101i</v>
      </c>
      <c r="AW481">
        <f t="shared" si="458"/>
        <v>79.256773639260444</v>
      </c>
      <c r="AX481">
        <f t="shared" si="459"/>
        <v>1.5581787738925033</v>
      </c>
      <c r="AY481" t="str">
        <f t="shared" si="434"/>
        <v>1-0,000321191118884833i</v>
      </c>
      <c r="AZ481">
        <f t="shared" si="460"/>
        <v>1.0000000515818661</v>
      </c>
      <c r="BA481">
        <f t="shared" si="461"/>
        <v>-3.2119110783974188E-4</v>
      </c>
      <c r="BB481" s="58" t="str">
        <f t="shared" si="462"/>
        <v>-0,000164158244317134+0,0133494746960712i</v>
      </c>
      <c r="BC481">
        <f t="shared" si="463"/>
        <v>-37.490059798352171</v>
      </c>
      <c r="BD481" s="60">
        <f t="shared" si="464"/>
        <v>90.704529634193833</v>
      </c>
      <c r="BE481" s="58" t="str">
        <f t="shared" si="465"/>
        <v>-0,000793309956696421-0,00264630118428752i</v>
      </c>
      <c r="BF481" s="37">
        <f t="shared" si="466"/>
        <v>-51.173473757112902</v>
      </c>
      <c r="BG481" s="60">
        <f t="shared" si="467"/>
        <v>-106.68771476189089</v>
      </c>
      <c r="BH481" s="58" t="str">
        <f t="shared" si="468"/>
        <v>0,0853568962809116+0,0156500717054786i</v>
      </c>
      <c r="BI481" s="37">
        <f t="shared" si="469"/>
        <v>-21.231632408493603</v>
      </c>
      <c r="BJ481" s="60">
        <f t="shared" si="470"/>
        <v>10.389706858954799</v>
      </c>
      <c r="BK481">
        <f t="shared" si="471"/>
        <v>-51.173473757112902</v>
      </c>
      <c r="BL481" s="60">
        <f t="shared" si="472"/>
        <v>-106.68771476189089</v>
      </c>
      <c r="BN481">
        <f t="shared" si="473"/>
        <v>0</v>
      </c>
      <c r="BO481">
        <f t="shared" si="474"/>
        <v>0</v>
      </c>
    </row>
    <row r="482" spans="13:67" x14ac:dyDescent="0.25">
      <c r="M482" s="66">
        <v>64</v>
      </c>
      <c r="N482" s="36">
        <f t="shared" si="422"/>
        <v>436515.83224016649</v>
      </c>
      <c r="O482" s="91" t="str">
        <f t="shared" si="423"/>
        <v>13,7404580152672</v>
      </c>
      <c r="P482" s="67" t="str">
        <f t="shared" si="424"/>
        <v>1+2962,12665256129i</v>
      </c>
      <c r="Q482" s="67">
        <f t="shared" si="435"/>
        <v>2962.1268213589292</v>
      </c>
      <c r="R482" s="67">
        <f t="shared" si="436"/>
        <v>1.5704587315198448</v>
      </c>
      <c r="S482" s="67" t="str">
        <f t="shared" si="425"/>
        <v>1+82,2812959044805i</v>
      </c>
      <c r="T482" s="67">
        <f t="shared" si="437"/>
        <v>82.287372395287235</v>
      </c>
      <c r="U482" s="67">
        <f t="shared" si="438"/>
        <v>1.5586434947559615</v>
      </c>
      <c r="V482" t="str">
        <f t="shared" si="426"/>
        <v>1-17,1419366467668i</v>
      </c>
      <c r="W482" s="67">
        <f t="shared" si="439"/>
        <v>17.17108010585725</v>
      </c>
      <c r="X482" s="67">
        <f t="shared" si="440"/>
        <v>-1.5125259020368487</v>
      </c>
      <c r="Y482" t="str">
        <f t="shared" si="427"/>
        <v>-11,1949485949648+29,7440952625017i</v>
      </c>
      <c r="Z482" s="67">
        <f t="shared" si="441"/>
        <v>31.781096221318112</v>
      </c>
      <c r="AA482" s="67">
        <f t="shared" si="442"/>
        <v>1.9307723653245785</v>
      </c>
      <c r="AB482" s="92" t="str">
        <f t="shared" si="443"/>
        <v>-0,196180488460353+0,0636044664663389i</v>
      </c>
      <c r="AC482" s="37">
        <f t="shared" si="444"/>
        <v>-13.712810068592249</v>
      </c>
      <c r="AD482" s="60">
        <f t="shared" si="445"/>
        <v>162.03657847496291</v>
      </c>
      <c r="AE482" t="str">
        <f t="shared" si="446"/>
        <v>21,0353732052265</v>
      </c>
      <c r="AF482" t="str">
        <f t="shared" si="428"/>
        <v>1+1481,06332628065i</v>
      </c>
      <c r="AG482">
        <f t="shared" si="447"/>
        <v>1481.0636638758995</v>
      </c>
      <c r="AH482">
        <f t="shared" si="448"/>
        <v>1.5701211363217449</v>
      </c>
      <c r="AI482" t="str">
        <f t="shared" si="429"/>
        <v>1+82,2812959044805i</v>
      </c>
      <c r="AJ482">
        <f t="shared" si="449"/>
        <v>82.287372395287235</v>
      </c>
      <c r="AK482">
        <f t="shared" si="450"/>
        <v>1.5586434947559615</v>
      </c>
      <c r="AL482" t="str">
        <f t="shared" si="430"/>
        <v>1-5,59853306502589i</v>
      </c>
      <c r="AM482">
        <f t="shared" si="451"/>
        <v>5.6871409759375746</v>
      </c>
      <c r="AN482">
        <f t="shared" si="452"/>
        <v>-1.394042127478246</v>
      </c>
      <c r="AO482" s="58" t="str">
        <f t="shared" si="453"/>
        <v>1,0935431284781-6,55608855932112i</v>
      </c>
      <c r="AP482">
        <f t="shared" si="454"/>
        <v>16.45207365907147</v>
      </c>
      <c r="AQ482" s="60">
        <f t="shared" si="455"/>
        <v>-80.530350788425082</v>
      </c>
      <c r="AR482" t="str">
        <f t="shared" si="431"/>
        <v>-1,05811623246493</v>
      </c>
      <c r="AS482" t="str">
        <f t="shared" si="432"/>
        <v>1+81,0964452434559i</v>
      </c>
      <c r="AT482">
        <f t="shared" si="456"/>
        <v>81.102610507460497</v>
      </c>
      <c r="AU482">
        <f t="shared" si="457"/>
        <v>1.5584659550119127</v>
      </c>
      <c r="AV482" t="str">
        <f t="shared" si="433"/>
        <v>1+81,0964452434559i</v>
      </c>
      <c r="AW482">
        <f t="shared" si="458"/>
        <v>81.102610507460497</v>
      </c>
      <c r="AX482">
        <f t="shared" si="459"/>
        <v>1.5584659550119127</v>
      </c>
      <c r="AY482" t="str">
        <f t="shared" si="434"/>
        <v>1-0,000313879916414703i</v>
      </c>
      <c r="AZ482">
        <f t="shared" si="460"/>
        <v>1.0000000492602998</v>
      </c>
      <c r="BA482">
        <f t="shared" si="461"/>
        <v>-3.1387990610682416E-4</v>
      </c>
      <c r="BB482" s="58" t="str">
        <f t="shared" si="462"/>
        <v>-0,000156771029508879+0,0130456946449301i</v>
      </c>
      <c r="BC482">
        <f t="shared" si="463"/>
        <v>-37.690028701557942</v>
      </c>
      <c r="BD482" s="60">
        <f t="shared" si="464"/>
        <v>90.688494269098285</v>
      </c>
      <c r="BE482" s="58" t="str">
        <f t="shared" si="465"/>
        <v>-0,000799009030428069-0,00256928208543629i</v>
      </c>
      <c r="BF482" s="37">
        <f t="shared" si="466"/>
        <v>-51.40283877015019</v>
      </c>
      <c r="BG482" s="60">
        <f t="shared" si="467"/>
        <v>-107.27492725593879</v>
      </c>
      <c r="BH482" s="58" t="str">
        <f t="shared" si="468"/>
        <v>0,0853572935279591+0,015293834488183i</v>
      </c>
      <c r="BI482" s="37">
        <f t="shared" si="469"/>
        <v>-21.237955042486476</v>
      </c>
      <c r="BJ482" s="60">
        <f t="shared" si="470"/>
        <v>10.158143480673212</v>
      </c>
      <c r="BK482">
        <f t="shared" si="471"/>
        <v>-51.40283877015019</v>
      </c>
      <c r="BL482" s="60">
        <f t="shared" si="472"/>
        <v>-107.27492725593879</v>
      </c>
      <c r="BN482">
        <f t="shared" si="473"/>
        <v>0</v>
      </c>
      <c r="BO482">
        <f t="shared" si="474"/>
        <v>0</v>
      </c>
    </row>
    <row r="483" spans="13:67" x14ac:dyDescent="0.25">
      <c r="M483" s="66">
        <v>65</v>
      </c>
      <c r="N483" s="36">
        <f t="shared" si="422"/>
        <v>446683.59215096442</v>
      </c>
      <c r="O483" s="91" t="str">
        <f t="shared" si="423"/>
        <v>13,7404580152672</v>
      </c>
      <c r="P483" s="67" t="str">
        <f t="shared" si="424"/>
        <v>1+3031,12344581403i</v>
      </c>
      <c r="Q483" s="67">
        <f t="shared" si="435"/>
        <v>3031.1236107693662</v>
      </c>
      <c r="R483" s="67">
        <f t="shared" si="436"/>
        <v>1.570466416125933</v>
      </c>
      <c r="S483" s="67" t="str">
        <f t="shared" si="425"/>
        <v>1+84,1978734948343i</v>
      </c>
      <c r="T483" s="67">
        <f t="shared" si="437"/>
        <v>84.203811677691405</v>
      </c>
      <c r="U483" s="67">
        <f t="shared" si="438"/>
        <v>1.558920100672587</v>
      </c>
      <c r="V483" t="str">
        <f t="shared" si="426"/>
        <v>1-17,5412236447571i</v>
      </c>
      <c r="W483" s="67">
        <f t="shared" si="439"/>
        <v>17.569704805584685</v>
      </c>
      <c r="X483" s="67">
        <f t="shared" si="440"/>
        <v>-1.513849399813733</v>
      </c>
      <c r="Y483" t="str">
        <f t="shared" si="427"/>
        <v>-11,7696788158009+30,4369242438493i</v>
      </c>
      <c r="Z483" s="67">
        <f t="shared" si="441"/>
        <v>32.633291235377001</v>
      </c>
      <c r="AA483" s="67">
        <f t="shared" si="442"/>
        <v>1.9397768738480359</v>
      </c>
      <c r="AB483" s="92" t="str">
        <f t="shared" si="443"/>
        <v>-0,194844664625894+0,0653445138100128i</v>
      </c>
      <c r="AC483" s="37">
        <f t="shared" si="444"/>
        <v>-13.74334197511252</v>
      </c>
      <c r="AD483" s="60">
        <f t="shared" si="445"/>
        <v>161.46023535928379</v>
      </c>
      <c r="AE483" t="str">
        <f t="shared" si="446"/>
        <v>21,0353732052265</v>
      </c>
      <c r="AF483" t="str">
        <f t="shared" si="428"/>
        <v>1+1515,56172290702i</v>
      </c>
      <c r="AG483">
        <f t="shared" si="447"/>
        <v>1515.5620528176651</v>
      </c>
      <c r="AH483">
        <f t="shared" si="448"/>
        <v>1.570136505528785</v>
      </c>
      <c r="AI483" t="str">
        <f t="shared" si="429"/>
        <v>1+84,1978734948343i</v>
      </c>
      <c r="AJ483">
        <f t="shared" si="449"/>
        <v>84.203811677691405</v>
      </c>
      <c r="AK483">
        <f t="shared" si="450"/>
        <v>1.558920100672587</v>
      </c>
      <c r="AL483" t="str">
        <f t="shared" si="430"/>
        <v>1-5,72893965249311i</v>
      </c>
      <c r="AM483">
        <f t="shared" si="451"/>
        <v>5.815560982562892</v>
      </c>
      <c r="AN483">
        <f t="shared" si="452"/>
        <v>-1.3979850209857565</v>
      </c>
      <c r="AO483" s="58" t="str">
        <f t="shared" si="453"/>
        <v>1,09354271931013-6,70817936021667i</v>
      </c>
      <c r="AP483">
        <f t="shared" si="454"/>
        <v>16.645997285659192</v>
      </c>
      <c r="AQ483" s="60">
        <f t="shared" si="455"/>
        <v>-80.741294184561838</v>
      </c>
      <c r="AR483" t="str">
        <f t="shared" si="431"/>
        <v>-1,05811623246493</v>
      </c>
      <c r="AS483" t="str">
        <f t="shared" si="432"/>
        <v>1+82,9854241165086i</v>
      </c>
      <c r="AT483">
        <f t="shared" si="456"/>
        <v>82.991449052277716</v>
      </c>
      <c r="AU483">
        <f t="shared" si="457"/>
        <v>1.5587466010563442</v>
      </c>
      <c r="AV483" t="str">
        <f t="shared" si="433"/>
        <v>1+82,9854241165086i</v>
      </c>
      <c r="AW483">
        <f t="shared" si="458"/>
        <v>82.991449052277716</v>
      </c>
      <c r="AX483">
        <f t="shared" si="459"/>
        <v>1.5587466010563442</v>
      </c>
      <c r="AY483" t="str">
        <f t="shared" si="434"/>
        <v>1-0,000306735137230945i</v>
      </c>
      <c r="AZ483">
        <f t="shared" si="460"/>
        <v>1.0000000470432211</v>
      </c>
      <c r="BA483">
        <f t="shared" si="461"/>
        <v>-3.0673512761107273E-4</v>
      </c>
      <c r="BB483" s="58" t="str">
        <f t="shared" si="462"/>
        <v>-0,000149716195316019+0,0127488233931813i</v>
      </c>
      <c r="BC483">
        <f t="shared" si="463"/>
        <v>-37.889999004141892</v>
      </c>
      <c r="BD483" s="60">
        <f t="shared" si="464"/>
        <v>90.672823800868684</v>
      </c>
      <c r="BE483" s="58" t="str">
        <f t="shared" si="465"/>
        <v>-0,000803894264411735-0,00249382335041157i</v>
      </c>
      <c r="BF483" s="37">
        <f t="shared" si="466"/>
        <v>-51.633340979254413</v>
      </c>
      <c r="BG483" s="60">
        <f t="shared" si="467"/>
        <v>-107.86694083984756</v>
      </c>
      <c r="BH483" s="58" t="str">
        <f t="shared" si="468"/>
        <v>0,0853576728978356+0,0149457060926932i</v>
      </c>
      <c r="BI483" s="37">
        <f t="shared" si="469"/>
        <v>-21.244001718482693</v>
      </c>
      <c r="BJ483" s="60">
        <f t="shared" si="470"/>
        <v>9.9315296163068769</v>
      </c>
      <c r="BK483">
        <f t="shared" si="471"/>
        <v>-51.633340979254413</v>
      </c>
      <c r="BL483" s="60">
        <f t="shared" si="472"/>
        <v>-107.86694083984756</v>
      </c>
      <c r="BN483">
        <f t="shared" si="473"/>
        <v>0</v>
      </c>
      <c r="BO483">
        <f t="shared" si="474"/>
        <v>0</v>
      </c>
    </row>
    <row r="484" spans="13:67" x14ac:dyDescent="0.25">
      <c r="M484" s="66">
        <v>66</v>
      </c>
      <c r="N484" s="36">
        <f t="shared" ref="N484:N518" si="475">10^(5+(M484/100))</f>
        <v>457088.18961487547</v>
      </c>
      <c r="O484" s="91" t="str">
        <f t="shared" si="423"/>
        <v>13,7404580152672</v>
      </c>
      <c r="P484" s="67" t="str">
        <f t="shared" si="424"/>
        <v>1+3101,72738083938i</v>
      </c>
      <c r="Q484" s="67">
        <f t="shared" si="435"/>
        <v>3101.7275420398742</v>
      </c>
      <c r="R484" s="67">
        <f t="shared" si="436"/>
        <v>1.5704739258090685</v>
      </c>
      <c r="S484" s="67" t="str">
        <f t="shared" si="425"/>
        <v>1+86,1590939122051i</v>
      </c>
      <c r="T484" s="67">
        <f t="shared" si="437"/>
        <v>86.164896934727295</v>
      </c>
      <c r="U484" s="67">
        <f t="shared" si="438"/>
        <v>1.5591904120259938</v>
      </c>
      <c r="V484" t="str">
        <f t="shared" si="426"/>
        <v>1-17,9498112317094i</v>
      </c>
      <c r="W484" s="67">
        <f t="shared" si="439"/>
        <v>17.977645097564945</v>
      </c>
      <c r="X484" s="67">
        <f t="shared" si="440"/>
        <v>-1.5151429641160772</v>
      </c>
      <c r="Y484" t="str">
        <f t="shared" si="427"/>
        <v>-12,3714952374659+31,1458912853111i</v>
      </c>
      <c r="Z484" s="67">
        <f t="shared" si="441"/>
        <v>33.512989099259109</v>
      </c>
      <c r="AA484" s="67">
        <f t="shared" si="442"/>
        <v>1.9488962116567092</v>
      </c>
      <c r="AB484" s="92" t="str">
        <f t="shared" si="443"/>
        <v>-0,193463883914583+0,0670735173419872i</v>
      </c>
      <c r="AC484" s="37">
        <f t="shared" si="444"/>
        <v>-13.775048534709049</v>
      </c>
      <c r="AD484" s="60">
        <f t="shared" si="445"/>
        <v>160.87867744239512</v>
      </c>
      <c r="AE484" t="str">
        <f t="shared" si="446"/>
        <v>21,0353732052265</v>
      </c>
      <c r="AF484" t="str">
        <f t="shared" si="428"/>
        <v>1+1550,86369041969i</v>
      </c>
      <c r="AG484">
        <f t="shared" si="447"/>
        <v>1550.8640128206534</v>
      </c>
      <c r="AH484">
        <f t="shared" si="448"/>
        <v>1.5701515248902627</v>
      </c>
      <c r="AI484" t="str">
        <f t="shared" si="429"/>
        <v>1+86,1590939122051i</v>
      </c>
      <c r="AJ484">
        <f t="shared" si="449"/>
        <v>86.164896934727295</v>
      </c>
      <c r="AK484">
        <f t="shared" si="450"/>
        <v>1.5591904120259938</v>
      </c>
      <c r="AL484" t="str">
        <f t="shared" si="430"/>
        <v>1-5,86238379959552i</v>
      </c>
      <c r="AM484">
        <f t="shared" si="451"/>
        <v>5.9470617798842484</v>
      </c>
      <c r="AN484">
        <f t="shared" si="452"/>
        <v>-1.4018434147194352</v>
      </c>
      <c r="AO484" s="58" t="str">
        <f t="shared" si="453"/>
        <v>1,09354232855775-6,86382692657797i</v>
      </c>
      <c r="AP484">
        <f t="shared" si="454"/>
        <v>16.840186521953143</v>
      </c>
      <c r="AQ484" s="60">
        <f t="shared" si="455"/>
        <v>-80.947736707520278</v>
      </c>
      <c r="AR484" t="str">
        <f t="shared" si="431"/>
        <v>-1,05811623246493</v>
      </c>
      <c r="AS484" t="str">
        <f t="shared" si="432"/>
        <v>1+84,9184029598693i</v>
      </c>
      <c r="AT484">
        <f t="shared" si="456"/>
        <v>84.924290760975666</v>
      </c>
      <c r="AU484">
        <f t="shared" si="457"/>
        <v>1.5590208606511093</v>
      </c>
      <c r="AV484" t="str">
        <f t="shared" si="433"/>
        <v>1+84,9184029598693i</v>
      </c>
      <c r="AW484">
        <f t="shared" si="458"/>
        <v>84.924290760975666</v>
      </c>
      <c r="AX484">
        <f t="shared" si="459"/>
        <v>1.5590208606511093</v>
      </c>
      <c r="AY484" t="str">
        <f t="shared" si="434"/>
        <v>1-0,000299752993077069i</v>
      </c>
      <c r="AZ484">
        <f t="shared" si="460"/>
        <v>1.0000000449259274</v>
      </c>
      <c r="BA484">
        <f t="shared" si="461"/>
        <v>-2.997529840992818E-4</v>
      </c>
      <c r="BB484" s="58" t="str">
        <f t="shared" si="462"/>
        <v>-0,000142978790839807+0,0124587040829544i</v>
      </c>
      <c r="BC484">
        <f t="shared" si="463"/>
        <v>-38.089970643139914</v>
      </c>
      <c r="BD484" s="60">
        <f t="shared" si="464"/>
        <v>90.657509930952855</v>
      </c>
      <c r="BE484" s="58" t="str">
        <f t="shared" si="465"/>
        <v>-0,000807987872173449-0,00241989937083776i</v>
      </c>
      <c r="BF484" s="37">
        <f t="shared" si="466"/>
        <v>-51.865019177848957</v>
      </c>
      <c r="BG484" s="60">
        <f t="shared" si="467"/>
        <v>-108.46381262665204</v>
      </c>
      <c r="BH484" s="58" t="str">
        <f t="shared" si="468"/>
        <v>0,08535803519498+0,0146055019481817i</v>
      </c>
      <c r="BI484" s="37">
        <f t="shared" si="469"/>
        <v>-21.249784121186764</v>
      </c>
      <c r="BJ484" s="60">
        <f t="shared" si="470"/>
        <v>9.7097732234325616</v>
      </c>
      <c r="BK484">
        <f t="shared" si="471"/>
        <v>-51.865019177848957</v>
      </c>
      <c r="BL484" s="60">
        <f t="shared" si="472"/>
        <v>-108.46381262665204</v>
      </c>
      <c r="BN484">
        <f t="shared" si="473"/>
        <v>0</v>
      </c>
      <c r="BO484">
        <f t="shared" si="474"/>
        <v>0</v>
      </c>
    </row>
    <row r="485" spans="13:67" x14ac:dyDescent="0.25">
      <c r="M485" s="66">
        <v>67</v>
      </c>
      <c r="N485" s="36">
        <f t="shared" si="475"/>
        <v>467735.14128719864</v>
      </c>
      <c r="O485" s="91" t="str">
        <f t="shared" si="423"/>
        <v>13,7404580152672</v>
      </c>
      <c r="P485" s="67" t="str">
        <f t="shared" si="424"/>
        <v>1+3173,97589277827i</v>
      </c>
      <c r="Q485" s="67">
        <f t="shared" si="435"/>
        <v>3173.9760503093935</v>
      </c>
      <c r="R485" s="67">
        <f t="shared" si="436"/>
        <v>1.5704812645509814</v>
      </c>
      <c r="S485" s="67" t="str">
        <f t="shared" si="425"/>
        <v>1+88,1659970216188i</v>
      </c>
      <c r="T485" s="67">
        <f t="shared" si="437"/>
        <v>88.171667959816276</v>
      </c>
      <c r="U485" s="67">
        <f t="shared" si="438"/>
        <v>1.55945457198074</v>
      </c>
      <c r="V485" t="str">
        <f t="shared" si="426"/>
        <v>1-18,3679160461706i</v>
      </c>
      <c r="W485" s="67">
        <f t="shared" si="439"/>
        <v>18.395117283648162</v>
      </c>
      <c r="X485" s="67">
        <f t="shared" si="440"/>
        <v>-1.5164072634827357</v>
      </c>
      <c r="Y485" t="str">
        <f t="shared" si="427"/>
        <v>-13,0016743932771+31,871372290597i</v>
      </c>
      <c r="Z485" s="67">
        <f t="shared" si="441"/>
        <v>34.421329270012684</v>
      </c>
      <c r="AA485" s="67">
        <f t="shared" si="442"/>
        <v>1.9581305323606566</v>
      </c>
      <c r="AB485" s="92" t="str">
        <f t="shared" si="443"/>
        <v>-0,192037568921866+0,068790165232009i</v>
      </c>
      <c r="AC485" s="37">
        <f t="shared" si="444"/>
        <v>-13.807969120763254</v>
      </c>
      <c r="AD485" s="60">
        <f t="shared" si="445"/>
        <v>160.29186559322295</v>
      </c>
      <c r="AE485" t="str">
        <f t="shared" si="446"/>
        <v>21,0353732052265</v>
      </c>
      <c r="AF485" t="str">
        <f t="shared" si="428"/>
        <v>1+1586,98794638914i</v>
      </c>
      <c r="AG485">
        <f t="shared" si="447"/>
        <v>1586.9882614513631</v>
      </c>
      <c r="AH485">
        <f t="shared" si="448"/>
        <v>1.5701662023696148</v>
      </c>
      <c r="AI485" t="str">
        <f t="shared" si="429"/>
        <v>1+88,1659970216188i</v>
      </c>
      <c r="AJ485">
        <f t="shared" si="449"/>
        <v>88.171667959816276</v>
      </c>
      <c r="AK485">
        <f t="shared" si="450"/>
        <v>1.55945457198074</v>
      </c>
      <c r="AL485" t="str">
        <f t="shared" si="430"/>
        <v>1-5,99893626018631i</v>
      </c>
      <c r="AM485">
        <f t="shared" si="451"/>
        <v>6.0817132663237352</v>
      </c>
      <c r="AN485">
        <f t="shared" si="452"/>
        <v>-1.4056188946954478</v>
      </c>
      <c r="AO485" s="58" t="str">
        <f t="shared" si="453"/>
        <v>1,09354195539209-7,02311378480655i</v>
      </c>
      <c r="AP485">
        <f t="shared" si="454"/>
        <v>17.034630087052179</v>
      </c>
      <c r="AQ485" s="60">
        <f t="shared" si="455"/>
        <v>-81.149761482879512</v>
      </c>
      <c r="AR485" t="str">
        <f t="shared" si="431"/>
        <v>-1,05811623246493</v>
      </c>
      <c r="AS485" t="str">
        <f t="shared" si="432"/>
        <v>1+86,8964066645074i</v>
      </c>
      <c r="AT485">
        <f t="shared" si="456"/>
        <v>86.902160451875119</v>
      </c>
      <c r="AU485">
        <f t="shared" si="457"/>
        <v>1.5592888790471462</v>
      </c>
      <c r="AV485" t="str">
        <f t="shared" si="433"/>
        <v>1+86,8964066645074i</v>
      </c>
      <c r="AW485">
        <f t="shared" si="458"/>
        <v>86.902160451875119</v>
      </c>
      <c r="AX485">
        <f t="shared" si="459"/>
        <v>1.5592888790471462</v>
      </c>
      <c r="AY485" t="str">
        <f t="shared" si="434"/>
        <v>1-0,000292929781927821i</v>
      </c>
      <c r="AZ485">
        <f t="shared" si="460"/>
        <v>1.0000000429039275</v>
      </c>
      <c r="BA485">
        <f t="shared" si="461"/>
        <v>-2.9292977354926245E-4</v>
      </c>
      <c r="BB485" s="58" t="str">
        <f t="shared" si="462"/>
        <v>-0,000136544537318111+0,0121751833998418i</v>
      </c>
      <c r="BC485">
        <f t="shared" si="463"/>
        <v>-38.289943558420163</v>
      </c>
      <c r="BD485" s="60">
        <f t="shared" si="464"/>
        <v>90.642544549195321</v>
      </c>
      <c r="BE485" s="58" t="str">
        <f t="shared" si="465"/>
        <v>-0,000811311196808999-0,00234748554256712i</v>
      </c>
      <c r="BF485" s="37">
        <f t="shared" si="466"/>
        <v>-52.097912679183416</v>
      </c>
      <c r="BG485" s="60">
        <f t="shared" si="467"/>
        <v>-109.06558985758167</v>
      </c>
      <c r="BH485" s="58" t="str">
        <f t="shared" si="468"/>
        <v>0,0853583811876399+0,0142730416845992i</v>
      </c>
      <c r="BI485" s="37">
        <f t="shared" si="469"/>
        <v>-21.25531347136798</v>
      </c>
      <c r="BJ485" s="60">
        <f t="shared" si="470"/>
        <v>9.4927830663158463</v>
      </c>
      <c r="BK485">
        <f t="shared" si="471"/>
        <v>-52.097912679183416</v>
      </c>
      <c r="BL485" s="60">
        <f t="shared" si="472"/>
        <v>-109.06558985758167</v>
      </c>
      <c r="BN485">
        <f t="shared" si="473"/>
        <v>0</v>
      </c>
      <c r="BO485">
        <f t="shared" si="474"/>
        <v>0</v>
      </c>
    </row>
    <row r="486" spans="13:67" x14ac:dyDescent="0.25">
      <c r="M486" s="66">
        <v>68</v>
      </c>
      <c r="N486" s="36">
        <f t="shared" si="475"/>
        <v>478630.09232263872</v>
      </c>
      <c r="O486" s="91" t="str">
        <f t="shared" si="423"/>
        <v>13,7404580152672</v>
      </c>
      <c r="P486" s="67" t="str">
        <f t="shared" si="424"/>
        <v>1+3247,90728874806i</v>
      </c>
      <c r="Q486" s="67">
        <f t="shared" si="435"/>
        <v>3247.9074426933375</v>
      </c>
      <c r="R486" s="67">
        <f t="shared" si="436"/>
        <v>1.5704884362427662</v>
      </c>
      <c r="S486" s="67" t="str">
        <f t="shared" si="425"/>
        <v>1+90,2196469096684i</v>
      </c>
      <c r="T486" s="67">
        <f t="shared" si="437"/>
        <v>90.225188769573876</v>
      </c>
      <c r="U486" s="67">
        <f t="shared" si="438"/>
        <v>1.5597127204503793</v>
      </c>
      <c r="V486" t="str">
        <f t="shared" si="426"/>
        <v>1-18,7957597728476i</v>
      </c>
      <c r="W486" s="67">
        <f t="shared" si="439"/>
        <v>18.822342719188704</v>
      </c>
      <c r="X486" s="67">
        <f t="shared" si="440"/>
        <v>-1.5176429520854247</v>
      </c>
      <c r="Y486" t="str">
        <f t="shared" si="427"/>
        <v>-13,6615529777138+32,6137519193389i</v>
      </c>
      <c r="Z486" s="67">
        <f t="shared" si="441"/>
        <v>35.359508537578158</v>
      </c>
      <c r="AA486" s="67">
        <f t="shared" si="442"/>
        <v>1.9674798254223627</v>
      </c>
      <c r="AB486" s="92" t="str">
        <f t="shared" si="443"/>
        <v>-0,190565197913441+0,070493074098278i</v>
      </c>
      <c r="AC486" s="37">
        <f t="shared" si="444"/>
        <v>-13.842143578009551</v>
      </c>
      <c r="AD486" s="60">
        <f t="shared" si="445"/>
        <v>159.69977072775663</v>
      </c>
      <c r="AE486" t="str">
        <f t="shared" si="446"/>
        <v>21,0353732052265</v>
      </c>
      <c r="AF486" t="str">
        <f t="shared" si="428"/>
        <v>1+1623,95364437403i</v>
      </c>
      <c r="AG486">
        <f t="shared" si="447"/>
        <v>1623.953952264563</v>
      </c>
      <c r="AH486">
        <f t="shared" si="448"/>
        <v>1.5701805457490097</v>
      </c>
      <c r="AI486" t="str">
        <f t="shared" si="429"/>
        <v>1+90,2196469096684i</v>
      </c>
      <c r="AJ486">
        <f t="shared" si="449"/>
        <v>90.225188769573876</v>
      </c>
      <c r="AK486">
        <f t="shared" si="450"/>
        <v>1.5597127204503793</v>
      </c>
      <c r="AL486" t="str">
        <f t="shared" si="430"/>
        <v>1-6,13866943618757i</v>
      </c>
      <c r="AM486">
        <f t="shared" si="451"/>
        <v>6.2195869996956725</v>
      </c>
      <c r="AN486">
        <f t="shared" si="452"/>
        <v>-1.4093130319735656</v>
      </c>
      <c r="AO486" s="58" t="str">
        <f t="shared" si="453"/>
        <v>1,09354159902165-7,1861243909045i</v>
      </c>
      <c r="AP486">
        <f t="shared" si="454"/>
        <v>17.229317150924949</v>
      </c>
      <c r="AQ486" s="60">
        <f t="shared" si="455"/>
        <v>-81.347450955162714</v>
      </c>
      <c r="AR486" t="str">
        <f t="shared" si="431"/>
        <v>-1,05811623246493</v>
      </c>
      <c r="AS486" t="str">
        <f t="shared" si="432"/>
        <v>1+88,9204839941691i</v>
      </c>
      <c r="AT486">
        <f t="shared" si="456"/>
        <v>88.926106817724147</v>
      </c>
      <c r="AU486">
        <f t="shared" si="457"/>
        <v>1.559550798197245</v>
      </c>
      <c r="AV486" t="str">
        <f t="shared" si="433"/>
        <v>1+88,9204839941691i</v>
      </c>
      <c r="AW486">
        <f t="shared" si="458"/>
        <v>88.926106817724147</v>
      </c>
      <c r="AX486">
        <f t="shared" si="459"/>
        <v>1.559550798197245</v>
      </c>
      <c r="AY486" t="str">
        <f t="shared" si="434"/>
        <v>1-0,000286261886026336i</v>
      </c>
      <c r="AZ486">
        <f t="shared" si="460"/>
        <v>1.0000000409729328</v>
      </c>
      <c r="BA486">
        <f t="shared" si="461"/>
        <v>-2.8626187820701021E-4</v>
      </c>
      <c r="BB486" s="58" t="str">
        <f t="shared" si="462"/>
        <v>-0,00013039979794154+0,0118981114940441i</v>
      </c>
      <c r="BC486">
        <f t="shared" si="463"/>
        <v>-38.489917692555757</v>
      </c>
      <c r="BD486" s="60">
        <f t="shared" si="464"/>
        <v>90.627919729582359</v>
      </c>
      <c r="BE486" s="58" t="str">
        <f t="shared" si="465"/>
        <v>-0,000813884791876622-0,00227655825427739i</v>
      </c>
      <c r="BF486" s="37">
        <f t="shared" si="466"/>
        <v>-52.332061270565326</v>
      </c>
      <c r="BG486" s="60">
        <f t="shared" si="467"/>
        <v>-109.67230954266104</v>
      </c>
      <c r="BH486" s="58" t="str">
        <f t="shared" si="468"/>
        <v>0,0853587116094984+0,0139481490370916i</v>
      </c>
      <c r="BI486" s="37">
        <f t="shared" si="469"/>
        <v>-21.260600541630815</v>
      </c>
      <c r="BJ486" s="60">
        <f t="shared" si="470"/>
        <v>9.2804687744196706</v>
      </c>
      <c r="BK486">
        <f t="shared" si="471"/>
        <v>-52.332061270565326</v>
      </c>
      <c r="BL486" s="60">
        <f t="shared" si="472"/>
        <v>-109.67230954266104</v>
      </c>
      <c r="BN486">
        <f t="shared" si="473"/>
        <v>0</v>
      </c>
      <c r="BO486">
        <f t="shared" si="474"/>
        <v>0</v>
      </c>
    </row>
    <row r="487" spans="13:67" x14ac:dyDescent="0.25">
      <c r="M487" s="66">
        <v>69</v>
      </c>
      <c r="N487" s="36">
        <f t="shared" si="475"/>
        <v>489778.81936844654</v>
      </c>
      <c r="O487" s="91" t="str">
        <f t="shared" si="423"/>
        <v>13,7404580152672</v>
      </c>
      <c r="P487" s="67" t="str">
        <f t="shared" si="424"/>
        <v>1+3323,56076815348i</v>
      </c>
      <c r="Q487" s="67">
        <f t="shared" si="435"/>
        <v>3323.5609185945345</v>
      </c>
      <c r="R487" s="67">
        <f t="shared" si="436"/>
        <v>1.5704954446869461</v>
      </c>
      <c r="S487" s="67" t="str">
        <f t="shared" si="425"/>
        <v>1+92,3211324487078i</v>
      </c>
      <c r="T487" s="67">
        <f t="shared" si="437"/>
        <v>92.32654816796655</v>
      </c>
      <c r="U487" s="67">
        <f t="shared" si="438"/>
        <v>1.5599649941709433</v>
      </c>
      <c r="V487" t="str">
        <f t="shared" si="426"/>
        <v>1-19,2335692601474i</v>
      </c>
      <c r="W487" s="67">
        <f t="shared" si="439"/>
        <v>19.259547930439258</v>
      </c>
      <c r="X487" s="67">
        <f t="shared" si="440"/>
        <v>-1.5188506699995976</v>
      </c>
      <c r="Y487" t="str">
        <f t="shared" si="427"/>
        <v>-14,3525306817248+33,3734237910426i</v>
      </c>
      <c r="Z487" s="67">
        <f t="shared" si="441"/>
        <v>36.328784076904917</v>
      </c>
      <c r="AA487" s="67">
        <f t="shared" si="442"/>
        <v>1.9769439097295654</v>
      </c>
      <c r="AB487" s="92" t="str">
        <f t="shared" si="443"/>
        <v>-0,189046310494155+0,0721807905509637i</v>
      </c>
      <c r="AC487" s="37">
        <f t="shared" si="444"/>
        <v>-13.877612172020481</v>
      </c>
      <c r="AD487" s="60">
        <f t="shared" si="445"/>
        <v>159.10237416587125</v>
      </c>
      <c r="AE487" t="str">
        <f t="shared" si="446"/>
        <v>21,0353732052265</v>
      </c>
      <c r="AF487" t="str">
        <f t="shared" si="428"/>
        <v>1+1661,78038407674i</v>
      </c>
      <c r="AG487">
        <f t="shared" si="447"/>
        <v>1661.7806849588296</v>
      </c>
      <c r="AH487">
        <f t="shared" si="448"/>
        <v>1.5701945626334735</v>
      </c>
      <c r="AI487" t="str">
        <f t="shared" si="429"/>
        <v>1+92,3211324487078i</v>
      </c>
      <c r="AJ487">
        <f t="shared" si="449"/>
        <v>92.32654816796655</v>
      </c>
      <c r="AK487">
        <f t="shared" si="450"/>
        <v>1.5599649941709433</v>
      </c>
      <c r="AL487" t="str">
        <f t="shared" si="430"/>
        <v>1-6,28165741597879i</v>
      </c>
      <c r="AM487">
        <f t="shared" si="451"/>
        <v>6.3607562358355887</v>
      </c>
      <c r="AN487">
        <f t="shared" si="452"/>
        <v>-1.4129273817293213</v>
      </c>
      <c r="AO487" s="58" t="str">
        <f t="shared" si="453"/>
        <v>1,09354125869051-7,35294517525442i</v>
      </c>
      <c r="AP487">
        <f t="shared" si="454"/>
        <v>17.424237318820417</v>
      </c>
      <c r="AQ487" s="60">
        <f t="shared" si="455"/>
        <v>-81.540886830702988</v>
      </c>
      <c r="AR487" t="str">
        <f t="shared" si="431"/>
        <v>-1,05811623246493</v>
      </c>
      <c r="AS487" t="str">
        <f t="shared" si="432"/>
        <v>1+90,9917081414464i</v>
      </c>
      <c r="AT487">
        <f t="shared" si="456"/>
        <v>90.997202981729941</v>
      </c>
      <c r="AU487">
        <f t="shared" si="457"/>
        <v>1.5598067568305789</v>
      </c>
      <c r="AV487" t="str">
        <f t="shared" si="433"/>
        <v>1+90,9917081414464i</v>
      </c>
      <c r="AW487">
        <f t="shared" si="458"/>
        <v>90.997202981729941</v>
      </c>
      <c r="AX487">
        <f t="shared" si="459"/>
        <v>1.5598067568305789</v>
      </c>
      <c r="AY487" t="str">
        <f t="shared" si="434"/>
        <v>1-0,000279745769965945i</v>
      </c>
      <c r="AZ487">
        <f t="shared" si="460"/>
        <v>1.0000000391288473</v>
      </c>
      <c r="BA487">
        <f t="shared" si="461"/>
        <v>-2.7974576266852553E-4</v>
      </c>
      <c r="BB487" s="58" t="str">
        <f t="shared" si="462"/>
        <v>-0,000124531549022153+0,0116273419031904i</v>
      </c>
      <c r="BC487">
        <f t="shared" si="463"/>
        <v>-38.689892990702994</v>
      </c>
      <c r="BD487" s="60">
        <f t="shared" si="464"/>
        <v>90.61362772608156</v>
      </c>
      <c r="BE487" s="58" t="str">
        <f t="shared" si="465"/>
        <v>-0,00081572850069587-0,00220709487330919i</v>
      </c>
      <c r="BF487" s="37">
        <f t="shared" si="466"/>
        <v>-52.567505162723471</v>
      </c>
      <c r="BG487" s="60">
        <f t="shared" si="467"/>
        <v>-110.28399810804714</v>
      </c>
      <c r="BH487" s="58" t="str">
        <f t="shared" si="468"/>
        <v>0,085359027161233+0,0136306517525891i</v>
      </c>
      <c r="BI487" s="37">
        <f t="shared" si="469"/>
        <v>-21.265655671882584</v>
      </c>
      <c r="BJ487" s="60">
        <f t="shared" si="470"/>
        <v>9.0727408953785496</v>
      </c>
      <c r="BK487">
        <f t="shared" si="471"/>
        <v>-52.567505162723471</v>
      </c>
      <c r="BL487" s="60">
        <f t="shared" si="472"/>
        <v>-110.28399810804714</v>
      </c>
      <c r="BN487">
        <f t="shared" si="473"/>
        <v>0</v>
      </c>
      <c r="BO487">
        <f t="shared" si="474"/>
        <v>0</v>
      </c>
    </row>
    <row r="488" spans="13:67" x14ac:dyDescent="0.25">
      <c r="M488" s="66">
        <v>70</v>
      </c>
      <c r="N488" s="36">
        <f t="shared" si="475"/>
        <v>501187.23362727347</v>
      </c>
      <c r="O488" s="91" t="str">
        <f t="shared" si="423"/>
        <v>13,7404580152672</v>
      </c>
      <c r="P488" s="67" t="str">
        <f t="shared" si="424"/>
        <v>1+3400,9764434707i</v>
      </c>
      <c r="Q488" s="67">
        <f t="shared" si="435"/>
        <v>3400.9765904872988</v>
      </c>
      <c r="R488" s="67">
        <f t="shared" si="436"/>
        <v>1.5705022935994886</v>
      </c>
      <c r="S488" s="67" t="str">
        <f t="shared" si="425"/>
        <v>1+94,4715678741862i</v>
      </c>
      <c r="T488" s="67">
        <f t="shared" si="437"/>
        <v>94.476860323610296</v>
      </c>
      <c r="U488" s="67">
        <f t="shared" si="438"/>
        <v>1.5602115267727821</v>
      </c>
      <c r="V488" t="str">
        <f t="shared" si="426"/>
        <v>1-19,6815766404554i</v>
      </c>
      <c r="W488" s="67">
        <f t="shared" si="439"/>
        <v>19.706964734685037</v>
      </c>
      <c r="X488" s="67">
        <f t="shared" si="440"/>
        <v>-1.520031043472835</v>
      </c>
      <c r="Y488" t="str">
        <f t="shared" si="427"/>
        <v>-15,0760731616614+34,1507906937897i</v>
      </c>
      <c r="Z488" s="67">
        <f t="shared" si="441"/>
        <v>37.330476650945677</v>
      </c>
      <c r="AA488" s="67">
        <f t="shared" si="442"/>
        <v>1.9865224273319861</v>
      </c>
      <c r="AB488" s="92" t="str">
        <f t="shared" si="443"/>
        <v>-0,187480513356964+0,0738517931871855i</v>
      </c>
      <c r="AC488" s="37">
        <f t="shared" si="444"/>
        <v>-13.9144155337321</v>
      </c>
      <c r="AD488" s="60">
        <f t="shared" si="445"/>
        <v>158.49966797880995</v>
      </c>
      <c r="AE488" t="str">
        <f t="shared" si="446"/>
        <v>21,0353732052265</v>
      </c>
      <c r="AF488" t="str">
        <f t="shared" si="428"/>
        <v>1+1700,48822173535i</v>
      </c>
      <c r="AG488">
        <f t="shared" si="447"/>
        <v>1700.4885157685285</v>
      </c>
      <c r="AH488">
        <f t="shared" si="448"/>
        <v>1.5702082604549219</v>
      </c>
      <c r="AI488" t="str">
        <f t="shared" si="429"/>
        <v>1+94,4715678741862i</v>
      </c>
      <c r="AJ488">
        <f t="shared" si="449"/>
        <v>94.476860323610296</v>
      </c>
      <c r="AK488">
        <f t="shared" si="450"/>
        <v>1.5602115267727821</v>
      </c>
      <c r="AL488" t="str">
        <f t="shared" si="430"/>
        <v>1-6,42797601367954i</v>
      </c>
      <c r="AM488">
        <f t="shared" si="451"/>
        <v>6.5052959680893467</v>
      </c>
      <c r="AN488">
        <f t="shared" si="452"/>
        <v>-1.4164634824173221</v>
      </c>
      <c r="AO488" s="58" t="str">
        <f t="shared" si="453"/>
        <v>1,09354093367678-7,52366458844557i</v>
      </c>
      <c r="AP488">
        <f t="shared" si="454"/>
        <v>17.619380616002449</v>
      </c>
      <c r="AQ488" s="60">
        <f t="shared" si="455"/>
        <v>-81.73015002581856</v>
      </c>
      <c r="AR488" t="str">
        <f t="shared" si="431"/>
        <v>-1,05811623246493</v>
      </c>
      <c r="AS488" t="str">
        <f t="shared" si="432"/>
        <v>1+93,1111772967979i</v>
      </c>
      <c r="AT488">
        <f t="shared" si="456"/>
        <v>93.116547066543092</v>
      </c>
      <c r="AU488">
        <f t="shared" si="457"/>
        <v>1.5600568905255736</v>
      </c>
      <c r="AV488" t="str">
        <f t="shared" si="433"/>
        <v>1+93,1111772967979i</v>
      </c>
      <c r="AW488">
        <f t="shared" si="458"/>
        <v>93.116547066543092</v>
      </c>
      <c r="AX488">
        <f t="shared" si="459"/>
        <v>1.5600568905255736</v>
      </c>
      <c r="AY488" t="str">
        <f t="shared" si="434"/>
        <v>1-0,000273377978815663i</v>
      </c>
      <c r="AZ488">
        <f t="shared" si="460"/>
        <v>1.0000000373677589</v>
      </c>
      <c r="BA488">
        <f t="shared" si="461"/>
        <v>-2.7337797200531494E-4</v>
      </c>
      <c r="BB488" s="58" t="str">
        <f t="shared" si="462"/>
        <v>-0,000118927352454388+0,0113627314768026i</v>
      </c>
      <c r="BC488">
        <f t="shared" si="463"/>
        <v>-38.889869400485495</v>
      </c>
      <c r="BD488" s="60">
        <f t="shared" si="464"/>
        <v>90.599660968574184</v>
      </c>
      <c r="BE488" s="58" t="str">
        <f t="shared" si="465"/>
        <v>-0,000816861533976015-0,00213907372864605i</v>
      </c>
      <c r="BF488" s="37">
        <f t="shared" si="466"/>
        <v>-52.804284934217584</v>
      </c>
      <c r="BG488" s="60">
        <f t="shared" si="467"/>
        <v>-110.90067105261581</v>
      </c>
      <c r="BH488" s="58" t="str">
        <f t="shared" si="468"/>
        <v>0,0853593285119929+0,0133203814985199i</v>
      </c>
      <c r="BI488" s="37">
        <f t="shared" si="469"/>
        <v>-21.270488784483042</v>
      </c>
      <c r="BJ488" s="60">
        <f t="shared" si="470"/>
        <v>8.869510942755614</v>
      </c>
      <c r="BK488">
        <f t="shared" si="471"/>
        <v>-52.804284934217584</v>
      </c>
      <c r="BL488" s="60">
        <f t="shared" si="472"/>
        <v>-110.90067105261581</v>
      </c>
      <c r="BN488">
        <f t="shared" si="473"/>
        <v>0</v>
      </c>
      <c r="BO488">
        <f t="shared" si="474"/>
        <v>0</v>
      </c>
    </row>
    <row r="489" spans="13:67" x14ac:dyDescent="0.25">
      <c r="M489" s="66">
        <v>71</v>
      </c>
      <c r="N489" s="36">
        <f t="shared" si="475"/>
        <v>512861.38399136515</v>
      </c>
      <c r="O489" s="91" t="str">
        <f t="shared" si="423"/>
        <v>13,7404580152672</v>
      </c>
      <c r="P489" s="67" t="str">
        <f t="shared" si="424"/>
        <v>1+3480,19536151548i</v>
      </c>
      <c r="Q489" s="67">
        <f t="shared" si="435"/>
        <v>3480.1955051855725</v>
      </c>
      <c r="R489" s="67">
        <f t="shared" si="436"/>
        <v>1.5705089866117745</v>
      </c>
      <c r="S489" s="67" t="str">
        <f t="shared" si="425"/>
        <v>1+96,67209337543i</v>
      </c>
      <c r="T489" s="67">
        <f t="shared" si="437"/>
        <v>96.677265360517168</v>
      </c>
      <c r="U489" s="67">
        <f t="shared" si="438"/>
        <v>1.5604524488508049</v>
      </c>
      <c r="V489" t="str">
        <f t="shared" si="426"/>
        <v>1-20,1400194532146i</v>
      </c>
      <c r="W489" s="67">
        <f t="shared" si="439"/>
        <v>20.164830363180901</v>
      </c>
      <c r="X489" s="67">
        <f t="shared" si="440"/>
        <v>-1.521184685190569</v>
      </c>
      <c r="Y489" t="str">
        <f t="shared" si="427"/>
        <v>-15,8337151481304+34,9462647978017i</v>
      </c>
      <c r="Z489" s="67">
        <f t="shared" si="441"/>
        <v>38.365973970566792</v>
      </c>
      <c r="AA489" s="67">
        <f t="shared" si="442"/>
        <v>1.9962148373883335</v>
      </c>
      <c r="AB489" s="92" t="str">
        <f t="shared" si="443"/>
        <v>-0,185867486076884+0,0755044950620684i</v>
      </c>
      <c r="AC489" s="37">
        <f t="shared" si="444"/>
        <v>-13.95259459895775</v>
      </c>
      <c r="AD489" s="60">
        <f t="shared" si="445"/>
        <v>157.89165532468064</v>
      </c>
      <c r="AE489" t="str">
        <f t="shared" si="446"/>
        <v>21,0353732052265</v>
      </c>
      <c r="AF489" t="str">
        <f t="shared" si="428"/>
        <v>1+1740,09768075774i</v>
      </c>
      <c r="AG489">
        <f t="shared" si="447"/>
        <v>1740.0979680979071</v>
      </c>
      <c r="AH489">
        <f t="shared" si="448"/>
        <v>1.5702216464761005</v>
      </c>
      <c r="AI489" t="str">
        <f t="shared" si="429"/>
        <v>1+96,67209337543i</v>
      </c>
      <c r="AJ489">
        <f t="shared" si="449"/>
        <v>96.677265360517168</v>
      </c>
      <c r="AK489">
        <f t="shared" si="450"/>
        <v>1.5604524488508049</v>
      </c>
      <c r="AL489" t="str">
        <f t="shared" si="430"/>
        <v>1-6,57770280934703i</v>
      </c>
      <c r="AM489">
        <f t="shared" si="451"/>
        <v>6.653282967685338</v>
      </c>
      <c r="AN489">
        <f t="shared" si="452"/>
        <v>-1.4199228550204239</v>
      </c>
      <c r="AO489" s="58" t="str">
        <f t="shared" si="453"/>
        <v>1,09354062329107-7,69837314817168i</v>
      </c>
      <c r="AP489">
        <f t="shared" si="454"/>
        <v>17.8147374728239</v>
      </c>
      <c r="AQ489" s="60">
        <f t="shared" si="455"/>
        <v>-81.915320619995214</v>
      </c>
      <c r="AR489" t="str">
        <f t="shared" si="431"/>
        <v>-1,05811623246493</v>
      </c>
      <c r="AS489" t="str">
        <f t="shared" si="432"/>
        <v>1+95,2800152308238i</v>
      </c>
      <c r="AT489">
        <f t="shared" si="456"/>
        <v>95.285262776496637</v>
      </c>
      <c r="AU489">
        <f t="shared" si="457"/>
        <v>1.5603013317811525</v>
      </c>
      <c r="AV489" t="str">
        <f t="shared" si="433"/>
        <v>1+95,2800152308238i</v>
      </c>
      <c r="AW489">
        <f t="shared" si="458"/>
        <v>95.285262776496637</v>
      </c>
      <c r="AX489">
        <f t="shared" si="459"/>
        <v>1.5603013317811525</v>
      </c>
      <c r="AY489" t="str">
        <f t="shared" si="434"/>
        <v>1-0,000267155136288336i</v>
      </c>
      <c r="AZ489">
        <f t="shared" si="460"/>
        <v>1.0000000356859329</v>
      </c>
      <c r="BA489">
        <f t="shared" si="461"/>
        <v>-2.6715512993254935E-4</v>
      </c>
      <c r="BB489" s="58" t="str">
        <f t="shared" si="462"/>
        <v>-0,000113575329410541+0,0111041403023753i</v>
      </c>
      <c r="BC489">
        <f t="shared" si="463"/>
        <v>-39.089846871882763</v>
      </c>
      <c r="BD489" s="60">
        <f t="shared" si="464"/>
        <v>90.586012058877969</v>
      </c>
      <c r="BE489" s="58" t="str">
        <f t="shared" si="465"/>
        <v>-0,000817302545671319-0,00207247409094616i</v>
      </c>
      <c r="BF489" s="37">
        <f t="shared" si="466"/>
        <v>-53.042441470840501</v>
      </c>
      <c r="BG489" s="60">
        <f t="shared" si="467"/>
        <v>-111.52233261644136</v>
      </c>
      <c r="BH489" s="58" t="str">
        <f t="shared" si="468"/>
        <v>0,0853596163008229+0,0130171737735998i</v>
      </c>
      <c r="BI489" s="37">
        <f t="shared" si="469"/>
        <v>-21.275109399058859</v>
      </c>
      <c r="BJ489" s="60">
        <f t="shared" si="470"/>
        <v>8.6706914388827325</v>
      </c>
      <c r="BK489">
        <f t="shared" si="471"/>
        <v>-53.042441470840501</v>
      </c>
      <c r="BL489" s="60">
        <f t="shared" si="472"/>
        <v>-111.52233261644136</v>
      </c>
      <c r="BN489">
        <f t="shared" si="473"/>
        <v>0</v>
      </c>
      <c r="BO489">
        <f t="shared" si="474"/>
        <v>0</v>
      </c>
    </row>
    <row r="490" spans="13:67" x14ac:dyDescent="0.25">
      <c r="M490" s="66">
        <v>72</v>
      </c>
      <c r="N490" s="36">
        <f t="shared" si="475"/>
        <v>524807.46024977288</v>
      </c>
      <c r="O490" s="91" t="str">
        <f t="shared" si="423"/>
        <v>13,7404580152672</v>
      </c>
      <c r="P490" s="67" t="str">
        <f t="shared" si="424"/>
        <v>1+3561,25952520678i</v>
      </c>
      <c r="Q490" s="67">
        <f t="shared" si="435"/>
        <v>3561.2596656065416</v>
      </c>
      <c r="R490" s="67">
        <f t="shared" si="436"/>
        <v>1.5705155272725255</v>
      </c>
      <c r="S490" s="67" t="str">
        <f t="shared" si="425"/>
        <v>1+98,9238757001884i</v>
      </c>
      <c r="T490" s="67">
        <f t="shared" si="437"/>
        <v>98.928929962606617</v>
      </c>
      <c r="U490" s="67">
        <f t="shared" si="438"/>
        <v>1.5606878880331507</v>
      </c>
      <c r="V490" t="str">
        <f t="shared" si="426"/>
        <v>1-20,6091407708726i</v>
      </c>
      <c r="W490" s="67">
        <f t="shared" si="439"/>
        <v>20.633387586958261</v>
      </c>
      <c r="X490" s="67">
        <f t="shared" si="440"/>
        <v>-1.5223121945389797</v>
      </c>
      <c r="Y490" t="str">
        <f t="shared" si="427"/>
        <v>-16,6270637013643+35,7602678739782i</v>
      </c>
      <c r="Z490" s="67">
        <f t="shared" si="441"/>
        <v>39.436734217578206</v>
      </c>
      <c r="AA490" s="67">
        <f t="shared" si="442"/>
        <v>2.006020410372487</v>
      </c>
      <c r="AB490" s="92" t="str">
        <f t="shared" si="443"/>
        <v>-0,184206986911014+0,0771372466581704i</v>
      </c>
      <c r="AC490" s="37">
        <f t="shared" si="444"/>
        <v>-13.99219054286521</v>
      </c>
      <c r="AD490" s="60">
        <f t="shared" si="445"/>
        <v>157.27835076917984</v>
      </c>
      <c r="AE490" t="str">
        <f t="shared" si="446"/>
        <v>21,0353732052265</v>
      </c>
      <c r="AF490" t="str">
        <f t="shared" si="428"/>
        <v>1+1780,62976260339i</v>
      </c>
      <c r="AG490">
        <f t="shared" si="447"/>
        <v>1780.6300434028976</v>
      </c>
      <c r="AH490">
        <f t="shared" si="448"/>
        <v>1.5702347277944357</v>
      </c>
      <c r="AI490" t="str">
        <f t="shared" si="429"/>
        <v>1+98,9238757001884i</v>
      </c>
      <c r="AJ490">
        <f t="shared" si="449"/>
        <v>98.928929962606617</v>
      </c>
      <c r="AK490">
        <f t="shared" si="450"/>
        <v>1.5606878880331507</v>
      </c>
      <c r="AL490" t="str">
        <f t="shared" si="430"/>
        <v>1-6,73091719011025i</v>
      </c>
      <c r="AM490">
        <f t="shared" si="451"/>
        <v>6.8047958250135379</v>
      </c>
      <c r="AN490">
        <f t="shared" si="452"/>
        <v>-1.4233070023796779</v>
      </c>
      <c r="AO490" s="58" t="str">
        <f t="shared" si="453"/>
        <v>1,09354032687501-7,87716348722499i</v>
      </c>
      <c r="AP490">
        <f t="shared" si="454"/>
        <v>18.010298710151204</v>
      </c>
      <c r="AQ490" s="60">
        <f t="shared" si="455"/>
        <v>-82.096477813781462</v>
      </c>
      <c r="AR490" t="str">
        <f t="shared" si="431"/>
        <v>-1,05811623246493</v>
      </c>
      <c r="AS490" t="str">
        <f t="shared" si="432"/>
        <v>1+97,4993718901056i</v>
      </c>
      <c r="AT490">
        <f t="shared" si="456"/>
        <v>97.504499993411144</v>
      </c>
      <c r="AU490">
        <f t="shared" si="457"/>
        <v>1.5605402100863921</v>
      </c>
      <c r="AV490" t="str">
        <f t="shared" si="433"/>
        <v>1+97,4993718901056i</v>
      </c>
      <c r="AW490">
        <f t="shared" si="458"/>
        <v>97.504499993411144</v>
      </c>
      <c r="AX490">
        <f t="shared" si="459"/>
        <v>1.5605402100863921</v>
      </c>
      <c r="AY490" t="str">
        <f t="shared" si="434"/>
        <v>1-0,000261073942950484i</v>
      </c>
      <c r="AZ490">
        <f t="shared" si="460"/>
        <v>1.0000000340798012</v>
      </c>
      <c r="BA490">
        <f t="shared" si="461"/>
        <v>-2.6107393701891874E-4</v>
      </c>
      <c r="BB490" s="58" t="str">
        <f t="shared" si="462"/>
        <v>-0,00010846413521565+0,0108514316330389i</v>
      </c>
      <c r="BC490">
        <f t="shared" si="463"/>
        <v>-39.289825357125046</v>
      </c>
      <c r="BD490" s="60">
        <f t="shared" si="464"/>
        <v>90.572673766858856</v>
      </c>
      <c r="BE490" s="58" t="str">
        <f t="shared" si="465"/>
        <v>-0,000817069706936011-0,00200727614954465i</v>
      </c>
      <c r="BF490" s="37">
        <f t="shared" si="466"/>
        <v>-53.28201589999027</v>
      </c>
      <c r="BG490" s="60">
        <f t="shared" si="467"/>
        <v>-112.14897546396134</v>
      </c>
      <c r="BH490" s="58" t="str">
        <f t="shared" si="468"/>
        <v>0,0853598911380143+0,0127208678206493i</v>
      </c>
      <c r="BI490" s="37">
        <f t="shared" si="469"/>
        <v>-21.279526646973849</v>
      </c>
      <c r="BJ490" s="60">
        <f t="shared" si="470"/>
        <v>8.4761959530773829</v>
      </c>
      <c r="BK490">
        <f t="shared" si="471"/>
        <v>-53.28201589999027</v>
      </c>
      <c r="BL490" s="60">
        <f t="shared" si="472"/>
        <v>-112.14897546396134</v>
      </c>
      <c r="BN490">
        <f t="shared" si="473"/>
        <v>0</v>
      </c>
      <c r="BO490">
        <f t="shared" si="474"/>
        <v>0</v>
      </c>
    </row>
    <row r="491" spans="13:67" x14ac:dyDescent="0.25">
      <c r="M491" s="66">
        <v>73</v>
      </c>
      <c r="N491" s="36">
        <f t="shared" si="475"/>
        <v>537031.7963702539</v>
      </c>
      <c r="O491" s="91" t="str">
        <f t="shared" si="423"/>
        <v>13,7404580152672</v>
      </c>
      <c r="P491" s="67" t="str">
        <f t="shared" si="424"/>
        <v>1+3644,21191583719i</v>
      </c>
      <c r="Q491" s="67">
        <f t="shared" si="435"/>
        <v>3644.2120530410634</v>
      </c>
      <c r="R491" s="67">
        <f t="shared" si="436"/>
        <v>1.5705219190496844</v>
      </c>
      <c r="S491" s="67" t="str">
        <f t="shared" si="425"/>
        <v>1+101,228108773255i</v>
      </c>
      <c r="T491" s="67">
        <f t="shared" si="437"/>
        <v>101.23304799229324</v>
      </c>
      <c r="U491" s="67">
        <f t="shared" si="438"/>
        <v>1.5609179690483244</v>
      </c>
      <c r="V491" t="str">
        <f t="shared" si="426"/>
        <v>1-21,0891893277615i</v>
      </c>
      <c r="W491" s="67">
        <f t="shared" si="439"/>
        <v>21.112884845566928</v>
      </c>
      <c r="X491" s="67">
        <f t="shared" si="440"/>
        <v>-1.5234141578649159</v>
      </c>
      <c r="Y491" t="str">
        <f t="shared" si="427"/>
        <v>-17,4578016200103+36,5932315175245i</v>
      </c>
      <c r="Z491" s="67">
        <f t="shared" si="441"/>
        <v>40.544289737258715</v>
      </c>
      <c r="AA491" s="67">
        <f t="shared" si="442"/>
        <v>2.0159382225896865</v>
      </c>
      <c r="AB491" s="92" t="str">
        <f t="shared" si="443"/>
        <v>-0,182498858561759+0,0787483393726087i</v>
      </c>
      <c r="AC491" s="37">
        <f t="shared" si="444"/>
        <v>-14.033244709431656</v>
      </c>
      <c r="AD491" s="60">
        <f t="shared" si="445"/>
        <v>156.65978058863743</v>
      </c>
      <c r="AE491" t="str">
        <f t="shared" si="446"/>
        <v>21,0353732052265</v>
      </c>
      <c r="AF491" t="str">
        <f t="shared" si="428"/>
        <v>1+1822,1059579186i</v>
      </c>
      <c r="AG491">
        <f t="shared" si="447"/>
        <v>1822.1062323263316</v>
      </c>
      <c r="AH491">
        <f t="shared" si="448"/>
        <v>1.5702475113457979</v>
      </c>
      <c r="AI491" t="str">
        <f t="shared" si="429"/>
        <v>1+101,228108773255i</v>
      </c>
      <c r="AJ491">
        <f t="shared" si="449"/>
        <v>101.23304799229324</v>
      </c>
      <c r="AK491">
        <f t="shared" si="450"/>
        <v>1.5609179690483244</v>
      </c>
      <c r="AL491" t="str">
        <f t="shared" si="430"/>
        <v>1-6,8877003922619i</v>
      </c>
      <c r="AM491">
        <f t="shared" si="451"/>
        <v>6.9599149918346512</v>
      </c>
      <c r="AN491">
        <f t="shared" si="452"/>
        <v>-1.4266174086001329</v>
      </c>
      <c r="AO491" s="58" t="str">
        <f t="shared" si="453"/>
        <v>1,09354004379985-8,06013040261075i</v>
      </c>
      <c r="AP491">
        <f t="shared" si="454"/>
        <v>18.20605552514721</v>
      </c>
      <c r="AQ491" s="60">
        <f t="shared" si="455"/>
        <v>-82.273699891112102</v>
      </c>
      <c r="AR491" t="str">
        <f t="shared" si="431"/>
        <v>-1,05811623246493</v>
      </c>
      <c r="AS491" t="str">
        <f t="shared" si="432"/>
        <v>1+99,7704240069204i</v>
      </c>
      <c r="AT491">
        <f t="shared" si="456"/>
        <v>99.775435386274708</v>
      </c>
      <c r="AU491">
        <f t="shared" si="457"/>
        <v>1.5607736519886204</v>
      </c>
      <c r="AV491" t="str">
        <f t="shared" si="433"/>
        <v>1+99,7704240069204i</v>
      </c>
      <c r="AW491">
        <f t="shared" si="458"/>
        <v>99.775435386274708</v>
      </c>
      <c r="AX491">
        <f t="shared" si="459"/>
        <v>1.5607736519886204</v>
      </c>
      <c r="AY491" t="str">
        <f t="shared" si="434"/>
        <v>1-0,000255131174472906i</v>
      </c>
      <c r="AZ491">
        <f t="shared" si="460"/>
        <v>1.0000000325459575</v>
      </c>
      <c r="BA491">
        <f t="shared" si="461"/>
        <v>-2.5513116893724719E-4</v>
      </c>
      <c r="BB491" s="58" t="str">
        <f t="shared" si="462"/>
        <v>-0,000103582935349113+0,01060447181678i</v>
      </c>
      <c r="BC491">
        <f t="shared" si="463"/>
        <v>-39.489804810591338</v>
      </c>
      <c r="BD491" s="60">
        <f t="shared" si="464"/>
        <v>90.559639026629384</v>
      </c>
      <c r="BE491" s="58" t="str">
        <f t="shared" si="465"/>
        <v>-0,000816180778027366-0,00194346098635878i</v>
      </c>
      <c r="BF491" s="37">
        <f t="shared" si="466"/>
        <v>-53.523049520022987</v>
      </c>
      <c r="BG491" s="60">
        <f t="shared" si="467"/>
        <v>-112.78058038473313</v>
      </c>
      <c r="BH491" s="58" t="str">
        <f t="shared" si="468"/>
        <v>0,0853601536063987+0,0124313065413949i</v>
      </c>
      <c r="BI491" s="37">
        <f t="shared" si="469"/>
        <v>-21.283749285444134</v>
      </c>
      <c r="BJ491" s="60">
        <f t="shared" si="470"/>
        <v>8.2859391355172782</v>
      </c>
      <c r="BK491">
        <f t="shared" si="471"/>
        <v>-53.523049520022987</v>
      </c>
      <c r="BL491" s="60">
        <f t="shared" si="472"/>
        <v>-112.78058038473313</v>
      </c>
      <c r="BN491">
        <f t="shared" si="473"/>
        <v>0</v>
      </c>
      <c r="BO491">
        <f t="shared" si="474"/>
        <v>0</v>
      </c>
    </row>
    <row r="492" spans="13:67" x14ac:dyDescent="0.25">
      <c r="M492" s="66">
        <v>74</v>
      </c>
      <c r="N492" s="36">
        <f t="shared" si="475"/>
        <v>549540.87385762564</v>
      </c>
      <c r="O492" s="91" t="str">
        <f t="shared" si="423"/>
        <v>13,7404580152672</v>
      </c>
      <c r="P492" s="67" t="str">
        <f t="shared" si="424"/>
        <v>1+3729,09651586221i</v>
      </c>
      <c r="Q492" s="67">
        <f t="shared" si="435"/>
        <v>3729.0966499429419</v>
      </c>
      <c r="R492" s="67">
        <f t="shared" si="436"/>
        <v>1.5705281653322538</v>
      </c>
      <c r="S492" s="67" t="str">
        <f t="shared" si="425"/>
        <v>1+103,586014329506i</v>
      </c>
      <c r="T492" s="67">
        <f t="shared" si="437"/>
        <v>103.59084112349228</v>
      </c>
      <c r="U492" s="67">
        <f t="shared" si="438"/>
        <v>1.5611428137908308</v>
      </c>
      <c r="V492" t="str">
        <f t="shared" si="426"/>
        <v>1-21,5804196519804i</v>
      </c>
      <c r="W492" s="67">
        <f t="shared" si="439"/>
        <v>21.603576378821675</v>
      </c>
      <c r="X492" s="67">
        <f t="shared" si="440"/>
        <v>-1.5244911487327175</v>
      </c>
      <c r="Y492" t="str">
        <f t="shared" si="427"/>
        <v>-18,327691010573+37,44559737679i</v>
      </c>
      <c r="Z492" s="67">
        <f t="shared" si="441"/>
        <v>41.690250906941067</v>
      </c>
      <c r="AA492" s="67">
        <f t="shared" si="442"/>
        <v>2.0259671510554722</v>
      </c>
      <c r="AB492" s="92" t="str">
        <f t="shared" si="443"/>
        <v>-0,180743033856689+0,0803360095377174i</v>
      </c>
      <c r="AC492" s="37">
        <f t="shared" si="444"/>
        <v>-14.075798535928175</v>
      </c>
      <c r="AD492" s="60">
        <f t="shared" si="445"/>
        <v>156.03598305237256</v>
      </c>
      <c r="AE492" t="str">
        <f t="shared" si="446"/>
        <v>21,0353732052265</v>
      </c>
      <c r="AF492" t="str">
        <f t="shared" si="428"/>
        <v>1+1864,54825793111i</v>
      </c>
      <c r="AG492">
        <f t="shared" si="447"/>
        <v>1864.5485260925595</v>
      </c>
      <c r="AH492">
        <f t="shared" si="448"/>
        <v>1.5702600039081782</v>
      </c>
      <c r="AI492" t="str">
        <f t="shared" si="429"/>
        <v>1+103,586014329506i</v>
      </c>
      <c r="AJ492">
        <f t="shared" si="449"/>
        <v>103.59084112349228</v>
      </c>
      <c r="AK492">
        <f t="shared" si="450"/>
        <v>1.5611428137908308</v>
      </c>
      <c r="AL492" t="str">
        <f t="shared" si="430"/>
        <v>1-7,04813554433099i</v>
      </c>
      <c r="AM492">
        <f t="shared" si="451"/>
        <v>7.118722824444137</v>
      </c>
      <c r="AN492">
        <f t="shared" si="452"/>
        <v>-1.4298555385278111</v>
      </c>
      <c r="AO492" s="58" t="str">
        <f t="shared" si="453"/>
        <v>1,09353977346518-8,24737090581053i</v>
      </c>
      <c r="AP492">
        <f t="shared" si="454"/>
        <v>18.401999477421715</v>
      </c>
      <c r="AQ492" s="60">
        <f t="shared" si="455"/>
        <v>-82.447064185791476</v>
      </c>
      <c r="AR492" t="str">
        <f t="shared" si="431"/>
        <v>-1,05811623246493</v>
      </c>
      <c r="AS492" t="str">
        <f t="shared" si="432"/>
        <v>1+102,094375723161i</v>
      </c>
      <c r="AT492">
        <f t="shared" si="456"/>
        <v>102.09927303512971</v>
      </c>
      <c r="AU492">
        <f t="shared" si="457"/>
        <v>1.5610017811599937</v>
      </c>
      <c r="AV492" t="str">
        <f t="shared" si="433"/>
        <v>1+102,094375723161i</v>
      </c>
      <c r="AW492">
        <f t="shared" si="458"/>
        <v>102.09927303512971</v>
      </c>
      <c r="AX492">
        <f t="shared" si="459"/>
        <v>1.5610017811599937</v>
      </c>
      <c r="AY492" t="str">
        <f t="shared" si="434"/>
        <v>1-0,000249323679921096i</v>
      </c>
      <c r="AZ492">
        <f t="shared" si="460"/>
        <v>1.0000000310811481</v>
      </c>
      <c r="BA492">
        <f t="shared" si="461"/>
        <v>-2.4932367475491863E-4</v>
      </c>
      <c r="BB492" s="58" t="str">
        <f t="shared" si="462"/>
        <v>-0,0000989213825226692+0,0103631302271863i</v>
      </c>
      <c r="BC492">
        <f t="shared" si="463"/>
        <v>-39.68978518871306</v>
      </c>
      <c r="BD492" s="60">
        <f t="shared" si="464"/>
        <v>90.546900932832074</v>
      </c>
      <c r="BE492" s="58" t="str">
        <f t="shared" si="465"/>
        <v>-0,000814653177981401-0,00188101054664344i</v>
      </c>
      <c r="BF492" s="37">
        <f t="shared" si="466"/>
        <v>-53.765583724641218</v>
      </c>
      <c r="BG492" s="60">
        <f t="shared" si="467"/>
        <v>-113.41711601479533</v>
      </c>
      <c r="BH492" s="58" t="str">
        <f t="shared" si="468"/>
        <v>0,0853604042625873+0,0121483364132075i</v>
      </c>
      <c r="BI492" s="37">
        <f t="shared" si="469"/>
        <v>-21.287785711291338</v>
      </c>
      <c r="BJ492" s="60">
        <f t="shared" si="470"/>
        <v>8.099836747040607</v>
      </c>
      <c r="BK492">
        <f t="shared" si="471"/>
        <v>-53.765583724641218</v>
      </c>
      <c r="BL492" s="60">
        <f t="shared" si="472"/>
        <v>-113.41711601479533</v>
      </c>
      <c r="BN492">
        <f t="shared" si="473"/>
        <v>0</v>
      </c>
      <c r="BO492">
        <f t="shared" si="474"/>
        <v>0</v>
      </c>
    </row>
    <row r="493" spans="13:67" x14ac:dyDescent="0.25">
      <c r="M493" s="66">
        <v>75</v>
      </c>
      <c r="N493" s="36">
        <f t="shared" si="475"/>
        <v>562341.32519035018</v>
      </c>
      <c r="O493" s="91" t="str">
        <f t="shared" si="423"/>
        <v>13,7404580152672</v>
      </c>
      <c r="P493" s="67" t="str">
        <f t="shared" si="424"/>
        <v>1+3815,95833222038i</v>
      </c>
      <c r="Q493" s="67">
        <f t="shared" si="435"/>
        <v>3815.9584632490619</v>
      </c>
      <c r="R493" s="67">
        <f t="shared" si="436"/>
        <v>1.5705342694320934</v>
      </c>
      <c r="S493" s="67" t="str">
        <f t="shared" si="425"/>
        <v>1+105,998842561677i</v>
      </c>
      <c r="T493" s="67">
        <f t="shared" si="437"/>
        <v>106.00355948936425</v>
      </c>
      <c r="U493" s="67">
        <f t="shared" si="438"/>
        <v>1.5613625413853396</v>
      </c>
      <c r="V493" t="str">
        <f t="shared" si="426"/>
        <v>1-22,0830922003494i</v>
      </c>
      <c r="W493" s="67">
        <f t="shared" si="439"/>
        <v>22.105722361622398</v>
      </c>
      <c r="X493" s="67">
        <f t="shared" si="440"/>
        <v>-1.5255437281778212</v>
      </c>
      <c r="Y493" t="str">
        <f t="shared" si="427"/>
        <v>-19,2385770250777+38,3178173874358i</v>
      </c>
      <c r="Z493" s="67">
        <f t="shared" si="441"/>
        <v>42.876310187406808</v>
      </c>
      <c r="AA493" s="67">
        <f t="shared" si="442"/>
        <v>2.0361058687913549</v>
      </c>
      <c r="AB493" s="92" t="str">
        <f t="shared" si="443"/>
        <v>-0,178939541294985+0,0818984429869698i</v>
      </c>
      <c r="AC493" s="37">
        <f t="shared" si="444"/>
        <v>-14.119893472527759</v>
      </c>
      <c r="AD493" s="60">
        <f t="shared" si="445"/>
        <v>155.4070086812749</v>
      </c>
      <c r="AE493" t="str">
        <f t="shared" si="446"/>
        <v>21,0353732052265</v>
      </c>
      <c r="AF493" t="str">
        <f t="shared" si="428"/>
        <v>1+1907,97916611019i</v>
      </c>
      <c r="AG493">
        <f t="shared" si="447"/>
        <v>1907.9794281675408</v>
      </c>
      <c r="AH493">
        <f t="shared" si="448"/>
        <v>1.5702722121052832</v>
      </c>
      <c r="AI493" t="str">
        <f t="shared" si="429"/>
        <v>1+105,998842561677i</v>
      </c>
      <c r="AJ493">
        <f t="shared" si="449"/>
        <v>106.00355948936425</v>
      </c>
      <c r="AK493">
        <f t="shared" si="450"/>
        <v>1.5613625413853396</v>
      </c>
      <c r="AL493" t="str">
        <f t="shared" si="430"/>
        <v>1-7,21230771115881i</v>
      </c>
      <c r="AM493">
        <f t="shared" si="451"/>
        <v>7.2813036278156158</v>
      </c>
      <c r="AN493">
        <f t="shared" si="452"/>
        <v>-1.4330228372933527</v>
      </c>
      <c r="AO493" s="58" t="str">
        <f t="shared" si="453"/>
        <v>1,09353951529756-8,43898427421833i</v>
      </c>
      <c r="AP493">
        <f t="shared" si="454"/>
        <v>18.598122475551556</v>
      </c>
      <c r="AQ493" s="60">
        <f t="shared" si="455"/>
        <v>-82.61664705187566</v>
      </c>
      <c r="AR493" t="str">
        <f t="shared" si="431"/>
        <v>-1,05811623246493</v>
      </c>
      <c r="AS493" t="str">
        <f t="shared" si="432"/>
        <v>1+104,472459228789i</v>
      </c>
      <c r="AT493">
        <f t="shared" si="456"/>
        <v>104.47724506949339</v>
      </c>
      <c r="AU493">
        <f t="shared" si="457"/>
        <v>1.561224718462584</v>
      </c>
      <c r="AV493" t="str">
        <f t="shared" si="433"/>
        <v>1+104,472459228789i</v>
      </c>
      <c r="AW493">
        <f t="shared" si="458"/>
        <v>104.47724506949339</v>
      </c>
      <c r="AX493">
        <f t="shared" si="459"/>
        <v>1.561224718462584</v>
      </c>
      <c r="AY493" t="str">
        <f t="shared" si="434"/>
        <v>1-0,000243648380084567i</v>
      </c>
      <c r="AZ493">
        <f t="shared" si="460"/>
        <v>1.0000000296822662</v>
      </c>
      <c r="BA493">
        <f t="shared" si="461"/>
        <v>-2.4364837526320973E-4</v>
      </c>
      <c r="BB493" s="58" t="str">
        <f t="shared" si="462"/>
        <v>-0,000094469594786639+0,0101272791956886i</v>
      </c>
      <c r="BC493">
        <f t="shared" si="463"/>
        <v>-39.889766449881925</v>
      </c>
      <c r="BD493" s="60">
        <f t="shared" si="464"/>
        <v>90.53445273700595</v>
      </c>
      <c r="BE493" s="58" t="str">
        <f t="shared" si="465"/>
        <v>-0,000812504051863784-0,0018199076065654i</v>
      </c>
      <c r="BF493" s="37">
        <f t="shared" si="466"/>
        <v>-54.009659922409682</v>
      </c>
      <c r="BG493" s="60">
        <f t="shared" si="467"/>
        <v>-114.05853858171913</v>
      </c>
      <c r="BH493" s="58" t="str">
        <f t="shared" si="468"/>
        <v>0,0853606436381412+0,0118718074077326i</v>
      </c>
      <c r="BI493" s="37">
        <f t="shared" si="469"/>
        <v>-21.29164397433037</v>
      </c>
      <c r="BJ493" s="60">
        <f t="shared" si="470"/>
        <v>7.9178056851303014</v>
      </c>
      <c r="BK493">
        <f t="shared" si="471"/>
        <v>-54.009659922409682</v>
      </c>
      <c r="BL493" s="60">
        <f t="shared" si="472"/>
        <v>-114.05853858171913</v>
      </c>
      <c r="BN493">
        <f t="shared" si="473"/>
        <v>0</v>
      </c>
      <c r="BO493">
        <f t="shared" si="474"/>
        <v>0</v>
      </c>
    </row>
    <row r="494" spans="13:67" x14ac:dyDescent="0.25">
      <c r="M494" s="66">
        <v>76</v>
      </c>
      <c r="N494" s="36">
        <f t="shared" si="475"/>
        <v>575439.93733715697</v>
      </c>
      <c r="O494" s="91" t="str">
        <f t="shared" si="423"/>
        <v>13,7404580152672</v>
      </c>
      <c r="P494" s="67" t="str">
        <f t="shared" si="424"/>
        <v>1+3904,84342019646i</v>
      </c>
      <c r="Q494" s="67">
        <f t="shared" si="435"/>
        <v>3904.8435482425657</v>
      </c>
      <c r="R494" s="67">
        <f t="shared" si="436"/>
        <v>1.570540234585676</v>
      </c>
      <c r="S494" s="67" t="str">
        <f t="shared" si="425"/>
        <v>1+108,467872783235i</v>
      </c>
      <c r="T494" s="67">
        <f t="shared" si="437"/>
        <v>108.4724823451554</v>
      </c>
      <c r="U494" s="67">
        <f t="shared" si="438"/>
        <v>1.5615772682494136</v>
      </c>
      <c r="V494" t="str">
        <f t="shared" si="426"/>
        <v>1-22,5974734965073i</v>
      </c>
      <c r="W494" s="67">
        <f t="shared" si="439"/>
        <v>22.619589041920054</v>
      </c>
      <c r="X494" s="67">
        <f t="shared" si="440"/>
        <v>-1.5265724449570528</v>
      </c>
      <c r="Y494" t="str">
        <f t="shared" si="427"/>
        <v>-20,192391774886+39,2103540120566i</v>
      </c>
      <c r="Z494" s="67">
        <f t="shared" si="441"/>
        <v>44.104246364055321</v>
      </c>
      <c r="AA494" s="67">
        <f t="shared" si="442"/>
        <v>2.0463528405922959</v>
      </c>
      <c r="AB494" s="92" t="str">
        <f t="shared" si="443"/>
        <v>-0,17708851040727+0,0834337801732642i</v>
      </c>
      <c r="AC494" s="37">
        <f t="shared" si="444"/>
        <v>-14.165570897173961</v>
      </c>
      <c r="AD494" s="60">
        <f t="shared" si="445"/>
        <v>154.77292047946207</v>
      </c>
      <c r="AE494" t="str">
        <f t="shared" si="446"/>
        <v>21,0353732052265</v>
      </c>
      <c r="AF494" t="str">
        <f t="shared" si="428"/>
        <v>1+1952,42171009823i</v>
      </c>
      <c r="AG494">
        <f t="shared" si="447"/>
        <v>1952.4219661904281</v>
      </c>
      <c r="AH494">
        <f t="shared" si="448"/>
        <v>1.570284142410046</v>
      </c>
      <c r="AI494" t="str">
        <f t="shared" si="429"/>
        <v>1+108,467872783235i</v>
      </c>
      <c r="AJ494">
        <f t="shared" si="449"/>
        <v>108.4724823451554</v>
      </c>
      <c r="AK494">
        <f t="shared" si="450"/>
        <v>1.5615772682494136</v>
      </c>
      <c r="AL494" t="str">
        <f t="shared" si="430"/>
        <v>1-7,38030393900125i</v>
      </c>
      <c r="AM494">
        <f t="shared" si="451"/>
        <v>7.4477437007483935</v>
      </c>
      <c r="AN494">
        <f t="shared" si="452"/>
        <v>-1.4361207299180225</v>
      </c>
      <c r="AO494" s="58" t="str">
        <f t="shared" si="453"/>
        <v>1,09353926874939-8,63507210377927i</v>
      </c>
      <c r="AP494">
        <f t="shared" si="454"/>
        <v>18.794416763976308</v>
      </c>
      <c r="AQ494" s="60">
        <f t="shared" si="455"/>
        <v>-82.782523837705654</v>
      </c>
      <c r="AR494" t="str">
        <f t="shared" si="431"/>
        <v>-1,05811623246493</v>
      </c>
      <c r="AS494" t="str">
        <f t="shared" si="432"/>
        <v>1+106,905935415157i</v>
      </c>
      <c r="AT494">
        <f t="shared" si="456"/>
        <v>106.91061232164803</v>
      </c>
      <c r="AU494">
        <f t="shared" si="457"/>
        <v>1.5614425820120075</v>
      </c>
      <c r="AV494" t="str">
        <f t="shared" si="433"/>
        <v>1+106,905935415157i</v>
      </c>
      <c r="AW494">
        <f t="shared" si="458"/>
        <v>106.91061232164803</v>
      </c>
      <c r="AX494">
        <f t="shared" si="459"/>
        <v>1.5614425820120075</v>
      </c>
      <c r="AY494" t="str">
        <f t="shared" si="434"/>
        <v>1-0,000238102265844228i</v>
      </c>
      <c r="AZ494">
        <f t="shared" si="460"/>
        <v>1.0000000283463442</v>
      </c>
      <c r="BA494">
        <f t="shared" si="461"/>
        <v>-2.3810226134467557E-4</v>
      </c>
      <c r="BB494" s="58" t="str">
        <f t="shared" si="462"/>
        <v>-0,0000902181346184414+0,0098967939452715i</v>
      </c>
      <c r="BC494">
        <f t="shared" si="463"/>
        <v>-40.089748554361549</v>
      </c>
      <c r="BD494" s="60">
        <f t="shared" si="464"/>
        <v>90.52228784403448</v>
      </c>
      <c r="BE494" s="58" t="str">
        <f t="shared" si="465"/>
        <v>-0,000809750335378572-0,00176013573758722i</v>
      </c>
      <c r="BF494" s="37">
        <f t="shared" si="466"/>
        <v>-54.255319451535499</v>
      </c>
      <c r="BG494" s="60">
        <f t="shared" si="467"/>
        <v>-114.7047916765034</v>
      </c>
      <c r="BH494" s="58" t="str">
        <f t="shared" si="468"/>
        <v>0,0853608722407069+0,0116015729113743i</v>
      </c>
      <c r="BI494" s="37">
        <f t="shared" si="469"/>
        <v>-21.295331790385251</v>
      </c>
      <c r="BJ494" s="60">
        <f t="shared" si="470"/>
        <v>7.7397640063288407</v>
      </c>
      <c r="BK494">
        <f t="shared" si="471"/>
        <v>-54.255319451535499</v>
      </c>
      <c r="BL494" s="60">
        <f t="shared" si="472"/>
        <v>-114.7047916765034</v>
      </c>
      <c r="BN494">
        <f t="shared" si="473"/>
        <v>0</v>
      </c>
      <c r="BO494">
        <f t="shared" si="474"/>
        <v>0</v>
      </c>
    </row>
    <row r="495" spans="13:67" x14ac:dyDescent="0.25">
      <c r="M495" s="66">
        <v>77</v>
      </c>
      <c r="N495" s="36">
        <f t="shared" si="475"/>
        <v>588843.65535558888</v>
      </c>
      <c r="O495" s="91" t="str">
        <f t="shared" si="423"/>
        <v>13,7404580152672</v>
      </c>
      <c r="P495" s="67" t="str">
        <f t="shared" si="424"/>
        <v>1+3995,79890784065i</v>
      </c>
      <c r="Q495" s="67">
        <f t="shared" si="435"/>
        <v>3995.7990329720701</v>
      </c>
      <c r="R495" s="67">
        <f t="shared" si="436"/>
        <v>1.5705460639558031</v>
      </c>
      <c r="S495" s="67" t="str">
        <f t="shared" si="425"/>
        <v>1+110,994414106685i</v>
      </c>
      <c r="T495" s="67">
        <f t="shared" si="437"/>
        <v>110.99891874647372</v>
      </c>
      <c r="U495" s="67">
        <f t="shared" si="438"/>
        <v>1.561787108154828</v>
      </c>
      <c r="V495" t="str">
        <f t="shared" si="426"/>
        <v>1-23,123836272226i</v>
      </c>
      <c r="W495" s="67">
        <f t="shared" si="439"/>
        <v>23.145448881901487</v>
      </c>
      <c r="X495" s="67">
        <f t="shared" si="440"/>
        <v>-1.5275778357955248</v>
      </c>
      <c r="Y495" t="str">
        <f t="shared" si="427"/>
        <v>-21,1911584289621+40,1236804853851i</v>
      </c>
      <c r="Z495" s="67">
        <f t="shared" si="441"/>
        <v>45.375928985031756</v>
      </c>
      <c r="AA495" s="67">
        <f t="shared" si="442"/>
        <v>2.0567063193213562</v>
      </c>
      <c r="AB495" s="92" t="str">
        <f t="shared" si="443"/>
        <v>-0,175190176872803+0,0849401218413594i</v>
      </c>
      <c r="AC495" s="37">
        <f t="shared" si="444"/>
        <v>-14.212872025898569</v>
      </c>
      <c r="AD495" s="60">
        <f t="shared" si="445"/>
        <v>154.13379413585113</v>
      </c>
      <c r="AE495" t="str">
        <f t="shared" si="446"/>
        <v>21,0353732052265</v>
      </c>
      <c r="AF495" t="str">
        <f t="shared" si="428"/>
        <v>1+1997,89945392033i</v>
      </c>
      <c r="AG495">
        <f t="shared" si="447"/>
        <v>1997.8997041831585</v>
      </c>
      <c r="AH495">
        <f t="shared" si="448"/>
        <v>1.5702958011480583</v>
      </c>
      <c r="AI495" t="str">
        <f t="shared" si="429"/>
        <v>1+110,994414106685i</v>
      </c>
      <c r="AJ495">
        <f t="shared" si="449"/>
        <v>110.99891874647372</v>
      </c>
      <c r="AK495">
        <f t="shared" si="450"/>
        <v>1.561787108154828</v>
      </c>
      <c r="AL495" t="str">
        <f t="shared" si="430"/>
        <v>1-7,55221330168202i</v>
      </c>
      <c r="AM495">
        <f t="shared" si="451"/>
        <v>7.6181313820452603</v>
      </c>
      <c r="AN495">
        <f t="shared" si="452"/>
        <v>-1.439150620977993</v>
      </c>
      <c r="AO495" s="58" t="str">
        <f t="shared" si="453"/>
        <v>1,09353903329772-8,835738362857i</v>
      </c>
      <c r="AP495">
        <f t="shared" si="454"/>
        <v>18.990874910268957</v>
      </c>
      <c r="AQ495" s="60">
        <f t="shared" si="455"/>
        <v>-82.944768863355222</v>
      </c>
      <c r="AR495" t="str">
        <f t="shared" si="431"/>
        <v>-1,05811623246493</v>
      </c>
      <c r="AS495" t="str">
        <f t="shared" si="432"/>
        <v>1+109,396094543549i</v>
      </c>
      <c r="AT495">
        <f t="shared" si="456"/>
        <v>109.40066499515034</v>
      </c>
      <c r="AU495">
        <f t="shared" si="457"/>
        <v>1.5616554872396278</v>
      </c>
      <c r="AV495" t="str">
        <f t="shared" si="433"/>
        <v>1+109,396094543549i</v>
      </c>
      <c r="AW495">
        <f t="shared" si="458"/>
        <v>109.40066499515034</v>
      </c>
      <c r="AX495">
        <f t="shared" si="459"/>
        <v>1.5616554872396278</v>
      </c>
      <c r="AY495" t="str">
        <f t="shared" si="434"/>
        <v>1-0,000232682396576895i</v>
      </c>
      <c r="AZ495">
        <f t="shared" si="460"/>
        <v>1.0000000270705485</v>
      </c>
      <c r="BA495">
        <f t="shared" si="461"/>
        <v>-2.3268239237766834E-4</v>
      </c>
      <c r="BB495" s="58" t="str">
        <f t="shared" si="462"/>
        <v>-0,0000861579889494528+0,00967155252562325i</v>
      </c>
      <c r="BC495">
        <f t="shared" si="463"/>
        <v>-40.289731464203335</v>
      </c>
      <c r="BD495" s="60">
        <f t="shared" si="464"/>
        <v>90.510399808672886</v>
      </c>
      <c r="BE495" s="58" t="str">
        <f t="shared" si="465"/>
        <v>-0,000806408816598487-0,00170167926767751i</v>
      </c>
      <c r="BF495" s="37">
        <f t="shared" si="466"/>
        <v>-54.502603490101926</v>
      </c>
      <c r="BG495" s="60">
        <f t="shared" si="467"/>
        <v>-115.35580605547605</v>
      </c>
      <c r="BH495" s="58" t="str">
        <f t="shared" si="468"/>
        <v>0,0853610905550892+0,0113374896475855i</v>
      </c>
      <c r="BI495" s="37">
        <f t="shared" si="469"/>
        <v>-21.298856553934378</v>
      </c>
      <c r="BJ495" s="60">
        <f t="shared" si="470"/>
        <v>7.5656309453176966</v>
      </c>
      <c r="BK495">
        <f t="shared" si="471"/>
        <v>-54.502603490101926</v>
      </c>
      <c r="BL495" s="60">
        <f t="shared" si="472"/>
        <v>-115.35580605547605</v>
      </c>
      <c r="BN495">
        <f t="shared" si="473"/>
        <v>0</v>
      </c>
      <c r="BO495">
        <f t="shared" si="474"/>
        <v>0</v>
      </c>
    </row>
    <row r="496" spans="13:67" x14ac:dyDescent="0.25">
      <c r="M496" s="66">
        <v>78</v>
      </c>
      <c r="N496" s="36">
        <f t="shared" si="475"/>
        <v>602559.58607435878</v>
      </c>
      <c r="O496" s="91" t="str">
        <f t="shared" si="423"/>
        <v>13,7404580152672</v>
      </c>
      <c r="P496" s="67" t="str">
        <f t="shared" si="424"/>
        <v>1+4088,87302095643i</v>
      </c>
      <c r="Q496" s="67">
        <f t="shared" si="435"/>
        <v>4088.8731432395111</v>
      </c>
      <c r="R496" s="67">
        <f t="shared" si="436"/>
        <v>1.5705517606332826</v>
      </c>
      <c r="S496" s="67" t="str">
        <f t="shared" si="425"/>
        <v>1+113,579806137679i</v>
      </c>
      <c r="T496" s="67">
        <f t="shared" si="437"/>
        <v>113.58420824336781</v>
      </c>
      <c r="U496" s="67">
        <f t="shared" si="438"/>
        <v>1.5619921722875176</v>
      </c>
      <c r="V496" t="str">
        <f t="shared" si="426"/>
        <v>1-23,6624596120164i</v>
      </c>
      <c r="W496" s="67">
        <f t="shared" si="439"/>
        <v>23.683580702467847</v>
      </c>
      <c r="X496" s="67">
        <f t="shared" si="440"/>
        <v>-1.5285604256300587</v>
      </c>
      <c r="Y496" t="str">
        <f t="shared" si="427"/>
        <v>-22,2369955052865+41,0582810652066i</v>
      </c>
      <c r="Z496" s="67">
        <f t="shared" si="441"/>
        <v>46.693323003740431</v>
      </c>
      <c r="AA496" s="67">
        <f t="shared" si="442"/>
        <v>2.0671643427869784</v>
      </c>
      <c r="AB496" s="92" t="str">
        <f t="shared" si="443"/>
        <v>-0,173244887335814+0,0864155352505661i</v>
      </c>
      <c r="AC496" s="37">
        <f t="shared" si="444"/>
        <v>-14.261837818821878</v>
      </c>
      <c r="AD496" s="60">
        <f t="shared" si="445"/>
        <v>153.4897181924668</v>
      </c>
      <c r="AE496" t="str">
        <f t="shared" si="446"/>
        <v>21,0353732052265</v>
      </c>
      <c r="AF496" t="str">
        <f t="shared" si="428"/>
        <v>1+2044,43651047822i</v>
      </c>
      <c r="AG496">
        <f t="shared" si="447"/>
        <v>2044.4367550443719</v>
      </c>
      <c r="AH496">
        <f t="shared" si="448"/>
        <v>1.5703071945009248</v>
      </c>
      <c r="AI496" t="str">
        <f t="shared" si="429"/>
        <v>1+113,579806137679i</v>
      </c>
      <c r="AJ496">
        <f t="shared" si="449"/>
        <v>113.58420824336781</v>
      </c>
      <c r="AK496">
        <f t="shared" si="450"/>
        <v>1.5619921722875176</v>
      </c>
      <c r="AL496" t="str">
        <f t="shared" si="430"/>
        <v>1-7,7281269478207i</v>
      </c>
      <c r="AM496">
        <f t="shared" si="451"/>
        <v>7.7925570977460596</v>
      </c>
      <c r="AN496">
        <f t="shared" si="452"/>
        <v>-1.4421138943229805</v>
      </c>
      <c r="AO496" s="58" t="str">
        <f t="shared" si="453"/>
        <v>1,09353880844311-9,04108944735888i</v>
      </c>
      <c r="AP496">
        <f t="shared" si="454"/>
        <v>19.187489792782426</v>
      </c>
      <c r="AQ496" s="60">
        <f t="shared" si="455"/>
        <v>-83.103455401267738</v>
      </c>
      <c r="AR496" t="str">
        <f t="shared" si="431"/>
        <v>-1,05811623246493</v>
      </c>
      <c r="AS496" t="str">
        <f t="shared" si="432"/>
        <v>1+111,944256929296i</v>
      </c>
      <c r="AT496">
        <f t="shared" si="456"/>
        <v>111.94872334891647</v>
      </c>
      <c r="AU496">
        <f t="shared" si="457"/>
        <v>1.5618635469533648</v>
      </c>
      <c r="AV496" t="str">
        <f t="shared" si="433"/>
        <v>1+111,944256929296i</v>
      </c>
      <c r="AW496">
        <f t="shared" si="458"/>
        <v>111.94872334891647</v>
      </c>
      <c r="AX496">
        <f t="shared" si="459"/>
        <v>1.5618635469533648</v>
      </c>
      <c r="AY496" t="str">
        <f t="shared" si="434"/>
        <v>1-0,000227385898596143i</v>
      </c>
      <c r="AZ496">
        <f t="shared" si="460"/>
        <v>1.0000000258521731</v>
      </c>
      <c r="BA496">
        <f t="shared" si="461"/>
        <v>-2.2738589467719667E-4</v>
      </c>
      <c r="BB496" s="58" t="str">
        <f t="shared" si="462"/>
        <v>-0,0000822805500882158+0,00945143574969724i</v>
      </c>
      <c r="BC496">
        <f t="shared" si="463"/>
        <v>-40.489715143166059</v>
      </c>
      <c r="BD496" s="60">
        <f t="shared" si="464"/>
        <v>90.49878233215351</v>
      </c>
      <c r="BE496" s="58" t="str">
        <f t="shared" si="465"/>
        <v>-0,000802496194566461-0,00164452323939457i</v>
      </c>
      <c r="BF496" s="37">
        <f t="shared" si="466"/>
        <v>-54.751552961987926</v>
      </c>
      <c r="BG496" s="60">
        <f t="shared" si="467"/>
        <v>-116.01149947537965</v>
      </c>
      <c r="BH496" s="58" t="str">
        <f t="shared" si="468"/>
        <v>0,0853612990442767+0,011079417600926i</v>
      </c>
      <c r="BI496" s="37">
        <f t="shared" si="469"/>
        <v>-21.30222535038363</v>
      </c>
      <c r="BJ496" s="60">
        <f t="shared" si="470"/>
        <v>7.3953269308857799</v>
      </c>
      <c r="BK496">
        <f t="shared" si="471"/>
        <v>-54.751552961987926</v>
      </c>
      <c r="BL496" s="60">
        <f t="shared" si="472"/>
        <v>-116.01149947537965</v>
      </c>
      <c r="BN496">
        <f t="shared" si="473"/>
        <v>0</v>
      </c>
      <c r="BO496">
        <f t="shared" si="474"/>
        <v>0</v>
      </c>
    </row>
    <row r="497" spans="13:67" x14ac:dyDescent="0.25">
      <c r="M497" s="66">
        <v>79</v>
      </c>
      <c r="N497" s="36">
        <f t="shared" si="475"/>
        <v>616595.00186148309</v>
      </c>
      <c r="O497" s="91" t="str">
        <f t="shared" si="423"/>
        <v>13,7404580152672</v>
      </c>
      <c r="P497" s="67" t="str">
        <f t="shared" si="424"/>
        <v>1+4184,11510867055i</v>
      </c>
      <c r="Q497" s="67">
        <f t="shared" si="435"/>
        <v>4184.1152281701288</v>
      </c>
      <c r="R497" s="67">
        <f t="shared" si="436"/>
        <v>1.5705573276385667</v>
      </c>
      <c r="S497" s="67" t="str">
        <f t="shared" si="425"/>
        <v>1+116,225419685293i</v>
      </c>
      <c r="T497" s="67">
        <f t="shared" si="437"/>
        <v>116.22972159057466</v>
      </c>
      <c r="U497" s="67">
        <f t="shared" si="438"/>
        <v>1.5621925693061742</v>
      </c>
      <c r="V497" t="str">
        <f t="shared" si="426"/>
        <v>1-24,2136291011028i</v>
      </c>
      <c r="W497" s="67">
        <f t="shared" si="439"/>
        <v>24.234269831083676</v>
      </c>
      <c r="X497" s="67">
        <f t="shared" si="440"/>
        <v>-1.5295207278490792</v>
      </c>
      <c r="Y497" t="str">
        <f t="shared" si="427"/>
        <v>-23,332121364516+42,0146512891195i</v>
      </c>
      <c r="Z497" s="67">
        <f t="shared" si="441"/>
        <v>48.058493633433983</v>
      </c>
      <c r="AA497" s="67">
        <f t="shared" si="442"/>
        <v>2.0777247312574394</v>
      </c>
      <c r="AB497" s="92" t="str">
        <f t="shared" si="443"/>
        <v>-0,171253103861064+0,0878580609374256i</v>
      </c>
      <c r="AC497" s="37">
        <f t="shared" si="444"/>
        <v>-14.312508882123126</v>
      </c>
      <c r="AD497" s="60">
        <f t="shared" si="445"/>
        <v>152.84079417637253</v>
      </c>
      <c r="AE497" t="str">
        <f t="shared" si="446"/>
        <v>21,0353732052265</v>
      </c>
      <c r="AF497" t="str">
        <f t="shared" si="428"/>
        <v>1+2092,05755433528i</v>
      </c>
      <c r="AG497">
        <f t="shared" si="447"/>
        <v>2092.0577933344275</v>
      </c>
      <c r="AH497">
        <f t="shared" si="448"/>
        <v>1.5703183285095401</v>
      </c>
      <c r="AI497" t="str">
        <f t="shared" si="429"/>
        <v>1+116,225419685293i</v>
      </c>
      <c r="AJ497">
        <f t="shared" si="449"/>
        <v>116.22972159057466</v>
      </c>
      <c r="AK497">
        <f t="shared" si="450"/>
        <v>1.5621925693061742</v>
      </c>
      <c r="AL497" t="str">
        <f t="shared" si="430"/>
        <v>1-7,90813814916099i</v>
      </c>
      <c r="AM497">
        <f t="shared" si="451"/>
        <v>7.9711134094438414</v>
      </c>
      <c r="AN497">
        <f t="shared" si="452"/>
        <v>-1.4450119128455301</v>
      </c>
      <c r="AO497" s="58" t="str">
        <f t="shared" si="453"/>
        <v>1,09353859370861-9,25123423714883i</v>
      </c>
      <c r="AP497">
        <f t="shared" si="454"/>
        <v>19.384254588671272</v>
      </c>
      <c r="AQ497" s="60">
        <f t="shared" si="455"/>
        <v>-83.258655659867301</v>
      </c>
      <c r="AR497" t="str">
        <f t="shared" si="431"/>
        <v>-1,05811623246493</v>
      </c>
      <c r="AS497" t="str">
        <f t="shared" si="432"/>
        <v>1+114,551773641825i</v>
      </c>
      <c r="AT497">
        <f t="shared" si="456"/>
        <v>114.55613839724134</v>
      </c>
      <c r="AU497">
        <f t="shared" si="457"/>
        <v>1.5620668713971382</v>
      </c>
      <c r="AV497" t="str">
        <f t="shared" si="433"/>
        <v>1+114,551773641825i</v>
      </c>
      <c r="AW497">
        <f t="shared" si="458"/>
        <v>114.55613839724134</v>
      </c>
      <c r="AX497">
        <f t="shared" si="459"/>
        <v>1.5620668713971382</v>
      </c>
      <c r="AY497" t="str">
        <f t="shared" si="434"/>
        <v>1-0,000222209963628634i</v>
      </c>
      <c r="AZ497">
        <f t="shared" si="460"/>
        <v>1.0000000246886336</v>
      </c>
      <c r="BA497">
        <f t="shared" si="461"/>
        <v>-2.2220995997126048E-4</v>
      </c>
      <c r="BB497" s="58" t="str">
        <f t="shared" si="462"/>
        <v>-0,0000785775974998932+0,00923632713165709i</v>
      </c>
      <c r="BC497">
        <f t="shared" si="463"/>
        <v>-40.689699556639169</v>
      </c>
      <c r="BD497" s="60">
        <f t="shared" si="464"/>
        <v>90.487429258867138</v>
      </c>
      <c r="BE497" s="58" t="str">
        <f t="shared" si="465"/>
        <v>-0,000798029134505324-0,0015886533649219i</v>
      </c>
      <c r="BF497" s="37">
        <f t="shared" si="466"/>
        <v>-55.002208438762281</v>
      </c>
      <c r="BG497" s="60">
        <f t="shared" si="467"/>
        <v>-116.67177656476028</v>
      </c>
      <c r="BH497" s="58" t="str">
        <f t="shared" si="468"/>
        <v>0,0853614981504257+0,0108272199428489i</v>
      </c>
      <c r="BI497" s="37">
        <f t="shared" si="469"/>
        <v>-21.305444967967894</v>
      </c>
      <c r="BJ497" s="60">
        <f t="shared" si="470"/>
        <v>7.2287735989998509</v>
      </c>
      <c r="BK497">
        <f t="shared" si="471"/>
        <v>-55.002208438762281</v>
      </c>
      <c r="BL497" s="60">
        <f t="shared" si="472"/>
        <v>-116.67177656476028</v>
      </c>
      <c r="BN497">
        <f t="shared" si="473"/>
        <v>0</v>
      </c>
      <c r="BO497">
        <f t="shared" si="474"/>
        <v>0</v>
      </c>
    </row>
    <row r="498" spans="13:67" x14ac:dyDescent="0.25">
      <c r="M498" s="66">
        <v>80</v>
      </c>
      <c r="N498" s="36">
        <f t="shared" si="475"/>
        <v>630957.34448019415</v>
      </c>
      <c r="O498" s="91" t="str">
        <f t="shared" si="423"/>
        <v>13,7404580152672</v>
      </c>
      <c r="P498" s="67" t="str">
        <f t="shared" si="424"/>
        <v>1+4281,5756695986i</v>
      </c>
      <c r="Q498" s="67">
        <f t="shared" si="435"/>
        <v>4281.5757863780364</v>
      </c>
      <c r="R498" s="67">
        <f t="shared" si="436"/>
        <v>1.5705627679233538</v>
      </c>
      <c r="S498" s="67" t="str">
        <f t="shared" si="425"/>
        <v>1+118,93265748885i</v>
      </c>
      <c r="T498" s="67">
        <f t="shared" si="437"/>
        <v>118.93686147431377</v>
      </c>
      <c r="U498" s="67">
        <f t="shared" si="438"/>
        <v>1.5623884053995307</v>
      </c>
      <c r="V498" t="str">
        <f t="shared" si="426"/>
        <v>1-24,7776369768437i</v>
      </c>
      <c r="W498" s="67">
        <f t="shared" si="439"/>
        <v>24.79780825307455</v>
      </c>
      <c r="X498" s="67">
        <f t="shared" si="440"/>
        <v>-1.5304592445289213</v>
      </c>
      <c r="Y498" t="str">
        <f t="shared" si="427"/>
        <v>-24,4788589154238+42,9932982372755i</v>
      </c>
      <c r="Z498" s="67">
        <f t="shared" si="441"/>
        <v>49.47361142185337</v>
      </c>
      <c r="AA498" s="67">
        <f t="shared" si="442"/>
        <v>2.0883850856658528</v>
      </c>
      <c r="AB498" s="92" t="str">
        <f t="shared" si="443"/>
        <v>-0,169215407967714+0,0892657200014493i</v>
      </c>
      <c r="AC498" s="37">
        <f t="shared" si="444"/>
        <v>-14.364925366320819</v>
      </c>
      <c r="AD498" s="60">
        <f t="shared" si="445"/>
        <v>152.18713669216726</v>
      </c>
      <c r="AE498" t="str">
        <f t="shared" si="446"/>
        <v>21,0353732052265</v>
      </c>
      <c r="AF498" t="str">
        <f t="shared" si="428"/>
        <v>1+2140,7878347993i</v>
      </c>
      <c r="AG498">
        <f t="shared" si="447"/>
        <v>2140.7880683581634</v>
      </c>
      <c r="AH498">
        <f t="shared" si="448"/>
        <v>1.570329209077292</v>
      </c>
      <c r="AI498" t="str">
        <f t="shared" si="429"/>
        <v>1+118,93265748885i</v>
      </c>
      <c r="AJ498">
        <f t="shared" si="449"/>
        <v>118.93686147431377</v>
      </c>
      <c r="AK498">
        <f t="shared" si="450"/>
        <v>1.5623884053995307</v>
      </c>
      <c r="AL498" t="str">
        <f t="shared" si="430"/>
        <v>1-8,09234235002452i</v>
      </c>
      <c r="AM498">
        <f t="shared" si="451"/>
        <v>8.1538950637103724</v>
      </c>
      <c r="AN498">
        <f t="shared" si="452"/>
        <v>-1.4478460182974111</v>
      </c>
      <c r="AO498" s="58" t="str">
        <f t="shared" si="453"/>
        <v>1,09353838863876-9,46628415377666i</v>
      </c>
      <c r="AP498">
        <f t="shared" si="454"/>
        <v>19.581162762285182</v>
      </c>
      <c r="AQ498" s="60">
        <f t="shared" si="455"/>
        <v>-83.410440769940323</v>
      </c>
      <c r="AR498" t="str">
        <f t="shared" si="431"/>
        <v>-1,05811623246493</v>
      </c>
      <c r="AS498" t="str">
        <f t="shared" si="432"/>
        <v>1+117,220027221011i</v>
      </c>
      <c r="AT498">
        <f t="shared" si="456"/>
        <v>117.22429262612148</v>
      </c>
      <c r="AU498">
        <f t="shared" si="457"/>
        <v>1.5622655683089757</v>
      </c>
      <c r="AV498" t="str">
        <f t="shared" si="433"/>
        <v>1+117,220027221011i</v>
      </c>
      <c r="AW498">
        <f t="shared" si="458"/>
        <v>117.22429262612148</v>
      </c>
      <c r="AX498">
        <f t="shared" si="459"/>
        <v>1.5622655683089757</v>
      </c>
      <c r="AY498" t="str">
        <f t="shared" si="434"/>
        <v>1-0,000217151847325138i</v>
      </c>
      <c r="AZ498">
        <f t="shared" si="460"/>
        <v>1.0000000235774622</v>
      </c>
      <c r="BA498">
        <f t="shared" si="461"/>
        <v>-2.171518439118784E-4</v>
      </c>
      <c r="BB498" s="58" t="str">
        <f t="shared" si="462"/>
        <v>-0,000075041280403636+0,00902611282617821i</v>
      </c>
      <c r="BC498">
        <f t="shared" si="463"/>
        <v>-40.88968467156927</v>
      </c>
      <c r="BD498" s="60">
        <f t="shared" si="464"/>
        <v>90.476334573119047</v>
      </c>
      <c r="BE498" s="58" t="str">
        <f t="shared" si="465"/>
        <v>-0,000793024319365193-0,00153405597816942i</v>
      </c>
      <c r="BF498" s="37">
        <f t="shared" si="466"/>
        <v>-55.254610037890103</v>
      </c>
      <c r="BG498" s="60">
        <f t="shared" si="467"/>
        <v>-117.33652873471372</v>
      </c>
      <c r="BH498" s="58" t="str">
        <f t="shared" si="468"/>
        <v>0,0853616882957971+0,0105807629591746i</v>
      </c>
      <c r="BI498" s="37">
        <f t="shared" si="469"/>
        <v>-21.308521909284085</v>
      </c>
      <c r="BJ498" s="60">
        <f t="shared" si="470"/>
        <v>7.0658938031787217</v>
      </c>
      <c r="BK498">
        <f t="shared" si="471"/>
        <v>-55.254610037890103</v>
      </c>
      <c r="BL498" s="60">
        <f t="shared" si="472"/>
        <v>-117.33652873471372</v>
      </c>
      <c r="BN498">
        <f t="shared" si="473"/>
        <v>0</v>
      </c>
      <c r="BO498">
        <f t="shared" si="474"/>
        <v>0</v>
      </c>
    </row>
    <row r="499" spans="13:67" x14ac:dyDescent="0.25">
      <c r="M499" s="66">
        <v>81</v>
      </c>
      <c r="N499" s="36">
        <f t="shared" si="475"/>
        <v>645654.22903465747</v>
      </c>
      <c r="O499" s="91" t="str">
        <f t="shared" si="423"/>
        <v>13,7404580152672</v>
      </c>
      <c r="P499" s="67" t="str">
        <f t="shared" si="424"/>
        <v>1+4381,30637862003i</v>
      </c>
      <c r="Q499" s="67">
        <f t="shared" si="435"/>
        <v>4381.3064927412415</v>
      </c>
      <c r="R499" s="67">
        <f t="shared" si="436"/>
        <v>1.5705680843721537</v>
      </c>
      <c r="S499" s="67" t="str">
        <f t="shared" si="425"/>
        <v>1+121,702954961668i</v>
      </c>
      <c r="T499" s="67">
        <f t="shared" si="437"/>
        <v>121.70706325600742</v>
      </c>
      <c r="U499" s="67">
        <f t="shared" si="438"/>
        <v>1.5625797843423568</v>
      </c>
      <c r="V499" t="str">
        <f t="shared" si="426"/>
        <v>1-25,3547822836807i</v>
      </c>
      <c r="W499" s="67">
        <f t="shared" si="439"/>
        <v>25.37449476645493</v>
      </c>
      <c r="X499" s="67">
        <f t="shared" si="440"/>
        <v>-1.5313764666665162</v>
      </c>
      <c r="Y499" t="str">
        <f t="shared" si="427"/>
        <v>-25,6796405421016+43,9947408012406i</v>
      </c>
      <c r="Z499" s="67">
        <f t="shared" si="441"/>
        <v>50.940957554210662</v>
      </c>
      <c r="AA499" s="67">
        <f t="shared" si="442"/>
        <v>2.0991427865569685</v>
      </c>
      <c r="AB499" s="92" t="str">
        <f t="shared" si="443"/>
        <v>-0,167132504180412+0,0906365218898902i</v>
      </c>
      <c r="AC499" s="37">
        <f t="shared" si="444"/>
        <v>-14.419126861254281</v>
      </c>
      <c r="AD499" s="60">
        <f t="shared" si="445"/>
        <v>151.52887347211532</v>
      </c>
      <c r="AE499" t="str">
        <f t="shared" si="446"/>
        <v>21,0353732052265</v>
      </c>
      <c r="AF499" t="str">
        <f t="shared" si="428"/>
        <v>1+2190,65318931002i</v>
      </c>
      <c r="AG499">
        <f t="shared" si="447"/>
        <v>2190.6534175524348</v>
      </c>
      <c r="AH499">
        <f t="shared" si="448"/>
        <v>1.5703398419731913</v>
      </c>
      <c r="AI499" t="str">
        <f t="shared" si="429"/>
        <v>1+121,702954961668i</v>
      </c>
      <c r="AJ499">
        <f t="shared" si="449"/>
        <v>121.70706325600742</v>
      </c>
      <c r="AK499">
        <f t="shared" si="450"/>
        <v>1.5625797843423568</v>
      </c>
      <c r="AL499" t="str">
        <f t="shared" si="430"/>
        <v>1-8,28083721791688i</v>
      </c>
      <c r="AM499">
        <f t="shared" si="451"/>
        <v>8.3409990426589395</v>
      </c>
      <c r="AN499">
        <f t="shared" si="452"/>
        <v>-1.4506175311497802</v>
      </c>
      <c r="AO499" s="58" t="str">
        <f t="shared" si="453"/>
        <v>1,09353819279857-9,6863532195553i</v>
      </c>
      <c r="AP499">
        <f t="shared" si="454"/>
        <v>19.778208053931774</v>
      </c>
      <c r="AQ499" s="60">
        <f t="shared" si="455"/>
        <v>-83.558880773594737</v>
      </c>
      <c r="AR499" t="str">
        <f t="shared" si="431"/>
        <v>-1,05811623246493</v>
      </c>
      <c r="AS499" t="str">
        <f t="shared" si="432"/>
        <v>1+119,95043241022i</v>
      </c>
      <c r="AT499">
        <f t="shared" si="456"/>
        <v>119.95460072626959</v>
      </c>
      <c r="AU499">
        <f t="shared" si="457"/>
        <v>1.5624597429778169</v>
      </c>
      <c r="AV499" t="str">
        <f t="shared" si="433"/>
        <v>1+119,95043241022i</v>
      </c>
      <c r="AW499">
        <f t="shared" si="458"/>
        <v>119.95460072626959</v>
      </c>
      <c r="AX499">
        <f t="shared" si="459"/>
        <v>1.5624597429778169</v>
      </c>
      <c r="AY499" t="str">
        <f t="shared" si="434"/>
        <v>1-0,000212208867805438i</v>
      </c>
      <c r="AZ499">
        <f t="shared" si="460"/>
        <v>1.0000000225163015</v>
      </c>
      <c r="BA499">
        <f t="shared" si="461"/>
        <v>-2.1220886461999881E-4</v>
      </c>
      <c r="BB499" s="58" t="str">
        <f t="shared" si="462"/>
        <v>-0,0000716641011512333+0,00882068156907812i</v>
      </c>
      <c r="BC499">
        <f t="shared" si="463"/>
        <v>-41.089670456390188</v>
      </c>
      <c r="BD499" s="60">
        <f t="shared" si="464"/>
        <v>90.465492395957725</v>
      </c>
      <c r="BE499" s="58" t="str">
        <f t="shared" si="465"/>
        <v>-0,000787498497434256-0,00148071798409075i</v>
      </c>
      <c r="BF499" s="37">
        <f t="shared" si="466"/>
        <v>-55.508797317644451</v>
      </c>
      <c r="BG499" s="60">
        <f t="shared" si="467"/>
        <v>-118.00563413192684</v>
      </c>
      <c r="BH499" s="58" t="str">
        <f t="shared" si="468"/>
        <v>0,0853618698836505+0,0103399159792141i</v>
      </c>
      <c r="BI499" s="37">
        <f t="shared" si="469"/>
        <v>-21.31146240245841</v>
      </c>
      <c r="BJ499" s="60">
        <f t="shared" si="470"/>
        <v>6.9066116223629779</v>
      </c>
      <c r="BK499">
        <f t="shared" si="471"/>
        <v>-55.508797317644451</v>
      </c>
      <c r="BL499" s="60">
        <f t="shared" si="472"/>
        <v>-118.00563413192684</v>
      </c>
      <c r="BN499">
        <f t="shared" si="473"/>
        <v>0</v>
      </c>
      <c r="BO499">
        <f t="shared" si="474"/>
        <v>0</v>
      </c>
    </row>
    <row r="500" spans="13:67" x14ac:dyDescent="0.25">
      <c r="M500" s="66">
        <v>82</v>
      </c>
      <c r="N500" s="36">
        <f t="shared" si="475"/>
        <v>660693.44800759677</v>
      </c>
      <c r="O500" s="91" t="str">
        <f t="shared" si="423"/>
        <v>13,7404580152672</v>
      </c>
      <c r="P500" s="67" t="str">
        <f t="shared" si="424"/>
        <v>1+4483,36011427684i</v>
      </c>
      <c r="Q500" s="67">
        <f t="shared" si="435"/>
        <v>4483.3602258003366</v>
      </c>
      <c r="R500" s="67">
        <f t="shared" si="436"/>
        <v>1.5705732798038168</v>
      </c>
      <c r="S500" s="67" t="str">
        <f t="shared" si="425"/>
        <v>1+124,537780952135i</v>
      </c>
      <c r="T500" s="67">
        <f t="shared" si="437"/>
        <v>124.54179573332785</v>
      </c>
      <c r="U500" s="67">
        <f t="shared" si="438"/>
        <v>1.562766807550193</v>
      </c>
      <c r="V500" t="str">
        <f t="shared" si="426"/>
        <v>1-25,9453710316947i</v>
      </c>
      <c r="W500" s="67">
        <f t="shared" si="439"/>
        <v>25.964635140365491</v>
      </c>
      <c r="X500" s="67">
        <f t="shared" si="440"/>
        <v>-1.5322728744084153</v>
      </c>
      <c r="Y500" t="str">
        <f t="shared" si="427"/>
        <v>-26,9370132633707+45,0195099591176i</v>
      </c>
      <c r="Z500" s="67">
        <f t="shared" si="441"/>
        <v>52.462929393144812</v>
      </c>
      <c r="AA500" s="67">
        <f t="shared" si="442"/>
        <v>2.1099949938242037</v>
      </c>
      <c r="AB500" s="92" t="str">
        <f t="shared" si="443"/>
        <v>-0,165005223037116+0,0919684726501103i</v>
      </c>
      <c r="AC500" s="37">
        <f t="shared" si="444"/>
        <v>-14.475152288212854</v>
      </c>
      <c r="AD500" s="60">
        <f t="shared" si="445"/>
        <v>150.86614538114088</v>
      </c>
      <c r="AE500" t="str">
        <f t="shared" si="446"/>
        <v>21,0353732052265</v>
      </c>
      <c r="AF500" t="str">
        <f t="shared" si="428"/>
        <v>1+2241,68005713842i</v>
      </c>
      <c r="AG500">
        <f t="shared" si="447"/>
        <v>2241.6802801854037</v>
      </c>
      <c r="AH500">
        <f t="shared" si="448"/>
        <v>1.5703502328349301</v>
      </c>
      <c r="AI500" t="str">
        <f t="shared" si="429"/>
        <v>1+124,537780952135i</v>
      </c>
      <c r="AJ500">
        <f t="shared" si="449"/>
        <v>124.54179573332785</v>
      </c>
      <c r="AK500">
        <f t="shared" si="450"/>
        <v>1.562766807550193</v>
      </c>
      <c r="AL500" t="str">
        <f t="shared" si="430"/>
        <v>1-8,47372269531199i</v>
      </c>
      <c r="AM500">
        <f t="shared" si="451"/>
        <v>8.5325246156718162</v>
      </c>
      <c r="AN500">
        <f t="shared" si="452"/>
        <v>-1.4533277504939319</v>
      </c>
      <c r="AO500" s="58" t="str">
        <f t="shared" si="453"/>
        <v>1,09353800577264-9,91155811801691i</v>
      </c>
      <c r="AP500">
        <f t="shared" si="454"/>
        <v>19.975384469004155</v>
      </c>
      <c r="AQ500" s="60">
        <f t="shared" si="455"/>
        <v>-83.704044615612474</v>
      </c>
      <c r="AR500" t="str">
        <f t="shared" si="431"/>
        <v>-1,05811623246493</v>
      </c>
      <c r="AS500" t="str">
        <f t="shared" si="432"/>
        <v>1+122,744436906424i</v>
      </c>
      <c r="AT500">
        <f t="shared" si="456"/>
        <v>122.74851034320172</v>
      </c>
      <c r="AU500">
        <f t="shared" si="457"/>
        <v>1.5626494982990389</v>
      </c>
      <c r="AV500" t="str">
        <f t="shared" si="433"/>
        <v>1+122,744436906424i</v>
      </c>
      <c r="AW500">
        <f t="shared" si="458"/>
        <v>122.74851034320172</v>
      </c>
      <c r="AX500">
        <f t="shared" si="459"/>
        <v>1.5626494982990389</v>
      </c>
      <c r="AY500" t="str">
        <f t="shared" si="434"/>
        <v>1-0,000207378404236366i</v>
      </c>
      <c r="AZ500">
        <f t="shared" si="460"/>
        <v>1.000000021502901</v>
      </c>
      <c r="BA500">
        <f t="shared" si="461"/>
        <v>-2.073784012635412E-4</v>
      </c>
      <c r="BB500" s="58" t="str">
        <f t="shared" si="462"/>
        <v>-0,0000684388993520609+0,00861992461924931i</v>
      </c>
      <c r="BC500">
        <f t="shared" si="463"/>
        <v>-41.289656880956009</v>
      </c>
      <c r="BD500" s="60">
        <f t="shared" si="464"/>
        <v>90.454896982074985</v>
      </c>
      <c r="BE500" s="58" t="str">
        <f t="shared" si="465"/>
        <v>-0,000781468525739441-0,00142862680540562i</v>
      </c>
      <c r="BF500" s="37">
        <f t="shared" si="466"/>
        <v>-55.764809169168885</v>
      </c>
      <c r="BG500" s="60">
        <f t="shared" si="467"/>
        <v>-118.67895763678419</v>
      </c>
      <c r="BH500" s="58" t="str">
        <f t="shared" si="468"/>
        <v>0,0853620432990996+0,0101045513065054i</v>
      </c>
      <c r="BI500" s="37">
        <f t="shared" si="469"/>
        <v>-21.314272411951865</v>
      </c>
      <c r="BJ500" s="60">
        <f t="shared" si="470"/>
        <v>6.7508523664624986</v>
      </c>
      <c r="BK500">
        <f t="shared" si="471"/>
        <v>-55.764809169168885</v>
      </c>
      <c r="BL500" s="60">
        <f t="shared" si="472"/>
        <v>-118.67895763678419</v>
      </c>
      <c r="BN500">
        <f t="shared" si="473"/>
        <v>0</v>
      </c>
      <c r="BO500">
        <f t="shared" si="474"/>
        <v>0</v>
      </c>
    </row>
    <row r="501" spans="13:67" x14ac:dyDescent="0.25">
      <c r="M501" s="66">
        <v>83</v>
      </c>
      <c r="N501" s="36">
        <f t="shared" si="475"/>
        <v>676082.97539198259</v>
      </c>
      <c r="O501" s="91" t="str">
        <f t="shared" si="423"/>
        <v>13,7404580152672</v>
      </c>
      <c r="P501" s="67" t="str">
        <f t="shared" si="424"/>
        <v>1+4587,79098681053i</v>
      </c>
      <c r="Q501" s="67">
        <f t="shared" si="435"/>
        <v>4587.7910957954409</v>
      </c>
      <c r="R501" s="67">
        <f t="shared" si="436"/>
        <v>1.5705783569730285</v>
      </c>
      <c r="S501" s="67" t="str">
        <f t="shared" si="425"/>
        <v>1+127,438638522515i</v>
      </c>
      <c r="T501" s="67">
        <f t="shared" si="437"/>
        <v>127.44256191897684</v>
      </c>
      <c r="U501" s="67">
        <f t="shared" si="438"/>
        <v>1.5629495741328565</v>
      </c>
      <c r="V501" t="str">
        <f t="shared" si="426"/>
        <v>1-26,5497163588573i</v>
      </c>
      <c r="W501" s="67">
        <f t="shared" si="439"/>
        <v>26.568542277207737</v>
      </c>
      <c r="X501" s="67">
        <f t="shared" si="440"/>
        <v>-1.5331489372761367</v>
      </c>
      <c r="Y501" t="str">
        <f t="shared" si="427"/>
        <v>-28,2536441353521+46,0681490570787i</v>
      </c>
      <c r="Z501" s="67">
        <f t="shared" si="441"/>
        <v>54.04204626466634</v>
      </c>
      <c r="AA501" s="67">
        <f t="shared" si="442"/>
        <v>2.1209386472819793</v>
      </c>
      <c r="AB501" s="92" t="str">
        <f t="shared" si="443"/>
        <v>-0,162834523494776+0,0932595836106436i</v>
      </c>
      <c r="AC501" s="37">
        <f t="shared" si="444"/>
        <v>-14.533039789707844</v>
      </c>
      <c r="AD501" s="60">
        <f t="shared" si="445"/>
        <v>150.19910637410308</v>
      </c>
      <c r="AE501" t="str">
        <f t="shared" si="446"/>
        <v>21,0353732052265</v>
      </c>
      <c r="AF501" t="str">
        <f t="shared" si="428"/>
        <v>1+2293,89549340527i</v>
      </c>
      <c r="AG501">
        <f t="shared" si="447"/>
        <v>2293.8957113750848</v>
      </c>
      <c r="AH501">
        <f t="shared" si="448"/>
        <v>1.5703603871718723</v>
      </c>
      <c r="AI501" t="str">
        <f t="shared" si="429"/>
        <v>1+127,438638522515i</v>
      </c>
      <c r="AJ501">
        <f t="shared" si="449"/>
        <v>127.44256191897684</v>
      </c>
      <c r="AK501">
        <f t="shared" si="450"/>
        <v>1.5629495741328565</v>
      </c>
      <c r="AL501" t="str">
        <f t="shared" si="430"/>
        <v>1-8,67110105264314i</v>
      </c>
      <c r="AM501">
        <f t="shared" si="451"/>
        <v>8.7285733923218505</v>
      </c>
      <c r="AN501">
        <f t="shared" si="452"/>
        <v>-1.4559779539796445</v>
      </c>
      <c r="AO501" s="58" t="str">
        <f t="shared" si="453"/>
        <v>1,09353782716425-10,1420182557801i</v>
      </c>
      <c r="AP501">
        <f t="shared" si="454"/>
        <v>20.172686267468386</v>
      </c>
      <c r="AQ501" s="60">
        <f t="shared" si="455"/>
        <v>-83.846000137022543</v>
      </c>
      <c r="AR501" t="str">
        <f t="shared" si="431"/>
        <v>-1,05811623246493</v>
      </c>
      <c r="AS501" t="str">
        <f t="shared" si="432"/>
        <v>1+125,603522127791i</v>
      </c>
      <c r="AT501">
        <f t="shared" si="456"/>
        <v>125.60750284480017</v>
      </c>
      <c r="AU501">
        <f t="shared" si="457"/>
        <v>1.5628349348287331</v>
      </c>
      <c r="AV501" t="str">
        <f t="shared" si="433"/>
        <v>1+125,603522127791i</v>
      </c>
      <c r="AW501">
        <f t="shared" si="458"/>
        <v>125.60750284480017</v>
      </c>
      <c r="AX501">
        <f t="shared" si="459"/>
        <v>1.5628349348287331</v>
      </c>
      <c r="AY501" t="str">
        <f t="shared" si="434"/>
        <v>1-0,000202657895442197i</v>
      </c>
      <c r="AZ501">
        <f t="shared" si="460"/>
        <v>1.0000000205351112</v>
      </c>
      <c r="BA501">
        <f t="shared" si="461"/>
        <v>-2.0265789266779544E-4</v>
      </c>
      <c r="BB501" s="58" t="str">
        <f t="shared" si="462"/>
        <v>-0,0000653588367108925+0,00842373570186783i</v>
      </c>
      <c r="BC501">
        <f t="shared" si="463"/>
        <v>-41.489643916477405</v>
      </c>
      <c r="BD501" s="60">
        <f t="shared" si="464"/>
        <v>90.444542716775643</v>
      </c>
      <c r="BE501" s="58" t="str">
        <f t="shared" si="465"/>
        <v>-0,000774951408970315-0,00137777032695651i</v>
      </c>
      <c r="BF501" s="37">
        <f t="shared" si="466"/>
        <v>-56.022683706185262</v>
      </c>
      <c r="BG501" s="60">
        <f t="shared" si="467"/>
        <v>-119.35635090912133</v>
      </c>
      <c r="BH501" s="58" t="str">
        <f t="shared" si="468"/>
        <v>0,0853622089099273+0,00987454415112489i</v>
      </c>
      <c r="BI501" s="37">
        <f t="shared" si="469"/>
        <v>-21.316957649009019</v>
      </c>
      <c r="BJ501" s="60">
        <f t="shared" si="470"/>
        <v>6.5985425797531168</v>
      </c>
      <c r="BK501">
        <f t="shared" si="471"/>
        <v>-56.022683706185262</v>
      </c>
      <c r="BL501" s="60">
        <f t="shared" si="472"/>
        <v>-119.35635090912133</v>
      </c>
      <c r="BN501">
        <f t="shared" si="473"/>
        <v>0</v>
      </c>
      <c r="BO501">
        <f t="shared" si="474"/>
        <v>0</v>
      </c>
    </row>
    <row r="502" spans="13:67" x14ac:dyDescent="0.25">
      <c r="M502" s="66">
        <v>84</v>
      </c>
      <c r="N502" s="36">
        <f t="shared" si="475"/>
        <v>691830.97091893724</v>
      </c>
      <c r="O502" s="91" t="str">
        <f t="shared" si="423"/>
        <v>13,7404580152672</v>
      </c>
      <c r="P502" s="67" t="str">
        <f t="shared" si="424"/>
        <v>1+4694,65436685202i</v>
      </c>
      <c r="Q502" s="67">
        <f t="shared" si="435"/>
        <v>4694.6544733561323</v>
      </c>
      <c r="R502" s="67">
        <f t="shared" si="436"/>
        <v>1.5705833185717701</v>
      </c>
      <c r="S502" s="67" t="str">
        <f t="shared" si="425"/>
        <v>1+130,40706574589i</v>
      </c>
      <c r="T502" s="67">
        <f t="shared" si="437"/>
        <v>130.41089983760128</v>
      </c>
      <c r="U502" s="67">
        <f t="shared" si="438"/>
        <v>1.5631281809467403</v>
      </c>
      <c r="V502" t="str">
        <f t="shared" si="426"/>
        <v>1-27,1681386970603i</v>
      </c>
      <c r="W502" s="67">
        <f t="shared" si="439"/>
        <v>27.186536378558881</v>
      </c>
      <c r="X502" s="67">
        <f t="shared" si="440"/>
        <v>-1.53400511438781</v>
      </c>
      <c r="Y502" t="str">
        <f t="shared" si="427"/>
        <v>-29,632325908649+47,1412140974538i</v>
      </c>
      <c r="Z502" s="67">
        <f t="shared" si="441"/>
        <v>55.680955499509587</v>
      </c>
      <c r="AA502" s="67">
        <f t="shared" si="442"/>
        <v>2.1319704681139959</v>
      </c>
      <c r="AB502" s="92" t="str">
        <f t="shared" si="443"/>
        <v>-0,16062149467651+0,0945078804443744i</v>
      </c>
      <c r="AC502" s="37">
        <f t="shared" si="444"/>
        <v>-14.592826617435657</v>
      </c>
      <c r="AD502" s="60">
        <f t="shared" si="445"/>
        <v>149.52792340302952</v>
      </c>
      <c r="AE502" t="str">
        <f t="shared" si="446"/>
        <v>21,0353732052265</v>
      </c>
      <c r="AF502" t="str">
        <f t="shared" si="428"/>
        <v>1+2347,32718342601i</v>
      </c>
      <c r="AG502">
        <f t="shared" si="447"/>
        <v>2347.3273964342266</v>
      </c>
      <c r="AH502">
        <f t="shared" si="448"/>
        <v>1.5703703103679731</v>
      </c>
      <c r="AI502" t="str">
        <f t="shared" si="429"/>
        <v>1+130,40706574589i</v>
      </c>
      <c r="AJ502">
        <f t="shared" si="449"/>
        <v>130.41089983760128</v>
      </c>
      <c r="AK502">
        <f t="shared" si="450"/>
        <v>1.5631281809467403</v>
      </c>
      <c r="AL502" t="str">
        <f t="shared" si="430"/>
        <v>1-8,87307694252799i</v>
      </c>
      <c r="AM502">
        <f t="shared" si="451"/>
        <v>8.9292493765165855</v>
      </c>
      <c r="AN502">
        <f t="shared" si="452"/>
        <v>-1.4585693977882717</v>
      </c>
      <c r="AO502" s="58" t="str">
        <f t="shared" si="453"/>
        <v>1,09353765659457-10,3778558258611i</v>
      </c>
      <c r="AP502">
        <f t="shared" si="454"/>
        <v>20.370107953705308</v>
      </c>
      <c r="AQ502" s="60">
        <f t="shared" si="455"/>
        <v>-83.984814070730238</v>
      </c>
      <c r="AR502" t="str">
        <f t="shared" si="431"/>
        <v>-1,05811623246493</v>
      </c>
      <c r="AS502" t="str">
        <f t="shared" si="432"/>
        <v>1+128,529203999149i</v>
      </c>
      <c r="AT502">
        <f t="shared" si="456"/>
        <v>128.53309410675078</v>
      </c>
      <c r="AU502">
        <f t="shared" si="457"/>
        <v>1.5630161508367602</v>
      </c>
      <c r="AV502" t="str">
        <f t="shared" si="433"/>
        <v>1+128,529203999149i</v>
      </c>
      <c r="AW502">
        <f t="shared" si="458"/>
        <v>128.53309410675078</v>
      </c>
      <c r="AX502">
        <f t="shared" si="459"/>
        <v>1.5630161508367602</v>
      </c>
      <c r="AY502" t="str">
        <f t="shared" si="434"/>
        <v>1-0,000198044838546686i</v>
      </c>
      <c r="AZ502">
        <f t="shared" si="460"/>
        <v>1.0000000196108789</v>
      </c>
      <c r="BA502">
        <f t="shared" si="461"/>
        <v>-1.9804483595746382E-4</v>
      </c>
      <c r="BB502" s="58" t="str">
        <f t="shared" si="462"/>
        <v>-0,0000624173825466412+0,00823201095285231i</v>
      </c>
      <c r="BC502">
        <f t="shared" si="463"/>
        <v>-41.689631535460251</v>
      </c>
      <c r="BD502" s="60">
        <f t="shared" si="464"/>
        <v>90.434424113015638</v>
      </c>
      <c r="BE502" s="58" t="str">
        <f t="shared" si="465"/>
        <v>-0,00076796433367051-0,00132813683796791i</v>
      </c>
      <c r="BF502" s="37">
        <f t="shared" si="466"/>
        <v>-56.282458152895899</v>
      </c>
      <c r="BG502" s="60">
        <f t="shared" si="467"/>
        <v>-120.03765248395477</v>
      </c>
      <c r="BH502" s="58" t="str">
        <f t="shared" si="468"/>
        <v>0,0853623670673699+0,00964977256353961i</v>
      </c>
      <c r="BI502" s="37">
        <f t="shared" si="469"/>
        <v>-21.319523581754947</v>
      </c>
      <c r="BJ502" s="60">
        <f t="shared" si="470"/>
        <v>6.4496100422854195</v>
      </c>
      <c r="BK502">
        <f t="shared" si="471"/>
        <v>-56.282458152895899</v>
      </c>
      <c r="BL502" s="60">
        <f t="shared" si="472"/>
        <v>-120.03765248395477</v>
      </c>
      <c r="BN502">
        <f t="shared" si="473"/>
        <v>0</v>
      </c>
      <c r="BO502">
        <f t="shared" si="474"/>
        <v>0</v>
      </c>
    </row>
    <row r="503" spans="13:67" x14ac:dyDescent="0.25">
      <c r="M503" s="66">
        <v>85</v>
      </c>
      <c r="N503" s="36">
        <f t="shared" si="475"/>
        <v>707945.78438413853</v>
      </c>
      <c r="O503" s="91" t="str">
        <f t="shared" si="423"/>
        <v>13,7404580152672</v>
      </c>
      <c r="P503" s="67" t="str">
        <f t="shared" si="424"/>
        <v>1+4804,00691477992i</v>
      </c>
      <c r="Q503" s="67">
        <f t="shared" si="435"/>
        <v>4804.0070188597028</v>
      </c>
      <c r="R503" s="67">
        <f t="shared" si="436"/>
        <v>1.5705881672307462</v>
      </c>
      <c r="S503" s="67" t="str">
        <f t="shared" si="425"/>
        <v>1+133,444636521665i</v>
      </c>
      <c r="T503" s="67">
        <f t="shared" si="437"/>
        <v>133.44838334127277</v>
      </c>
      <c r="U503" s="67">
        <f t="shared" si="438"/>
        <v>1.5633027226459342</v>
      </c>
      <c r="V503" t="str">
        <f t="shared" si="426"/>
        <v>1-27,8009659420134i</v>
      </c>
      <c r="W503" s="67">
        <f t="shared" si="439"/>
        <v>27.818945114956982</v>
      </c>
      <c r="X503" s="67">
        <f t="shared" si="440"/>
        <v>-1.5348418546761156</v>
      </c>
      <c r="Y503" t="str">
        <f t="shared" si="427"/>
        <v>-31,0759829521456+48,2392740335313i</v>
      </c>
      <c r="Z503" s="67">
        <f t="shared" si="441"/>
        <v>57.382438739776234</v>
      </c>
      <c r="AA503" s="67">
        <f t="shared" si="442"/>
        <v>2.1430869612331769</v>
      </c>
      <c r="AB503" s="92" t="str">
        <f t="shared" si="443"/>
        <v>-0,158367356907507+0,0957114125597882i</v>
      </c>
      <c r="AC503" s="37">
        <f t="shared" si="444"/>
        <v>-14.654549019025742</v>
      </c>
      <c r="AD503" s="60">
        <f t="shared" si="445"/>
        <v>148.85277627226307</v>
      </c>
      <c r="AE503" t="str">
        <f t="shared" si="446"/>
        <v>21,0353732052265</v>
      </c>
      <c r="AF503" t="str">
        <f t="shared" si="428"/>
        <v>1+2402,00345738996i</v>
      </c>
      <c r="AG503">
        <f t="shared" si="447"/>
        <v>2402.0036655495182</v>
      </c>
      <c r="AH503">
        <f t="shared" si="448"/>
        <v>1.5703800076846348</v>
      </c>
      <c r="AI503" t="str">
        <f t="shared" si="429"/>
        <v>1+133,444636521665i</v>
      </c>
      <c r="AJ503">
        <f t="shared" si="449"/>
        <v>133.44838334127277</v>
      </c>
      <c r="AK503">
        <f t="shared" si="450"/>
        <v>1.5633027226459342</v>
      </c>
      <c r="AL503" t="str">
        <f t="shared" si="430"/>
        <v>1-9,07975745525684i</v>
      </c>
      <c r="AM503">
        <f t="shared" si="451"/>
        <v>9.1346590218952439</v>
      </c>
      <c r="AN503">
        <f t="shared" si="452"/>
        <v>-1.4611033166379104</v>
      </c>
      <c r="AO503" s="58" t="str">
        <f t="shared" si="453"/>
        <v>1,09353749370178-10,6191958724615i</v>
      </c>
      <c r="AP503">
        <f t="shared" si="454"/>
        <v>20.567644266699631</v>
      </c>
      <c r="AQ503" s="60">
        <f t="shared" si="455"/>
        <v>-84.120552039047638</v>
      </c>
      <c r="AR503" t="str">
        <f t="shared" si="431"/>
        <v>-1,05811623246493</v>
      </c>
      <c r="AS503" t="str">
        <f t="shared" si="432"/>
        <v>1+131,523033755753i</v>
      </c>
      <c r="AT503">
        <f t="shared" si="456"/>
        <v>131.52683531628421</v>
      </c>
      <c r="AU503">
        <f t="shared" si="457"/>
        <v>1.563193242358611</v>
      </c>
      <c r="AV503" t="str">
        <f t="shared" si="433"/>
        <v>1+131,523033755753i</v>
      </c>
      <c r="AW503">
        <f t="shared" si="458"/>
        <v>131.52683531628421</v>
      </c>
      <c r="AX503">
        <f t="shared" si="459"/>
        <v>1.563193242358611</v>
      </c>
      <c r="AY503" t="str">
        <f t="shared" si="434"/>
        <v>1-0,000193536787646005i</v>
      </c>
      <c r="AZ503">
        <f t="shared" si="460"/>
        <v>1.0000000187282438</v>
      </c>
      <c r="BA503">
        <f t="shared" si="461"/>
        <v>-1.9353678522960225E-4</v>
      </c>
      <c r="BB503" s="58" t="str">
        <f t="shared" si="462"/>
        <v>-0,0000596082999615002+0,0080446488645468i</v>
      </c>
      <c r="BC503">
        <f t="shared" si="463"/>
        <v>-41.889619711647711</v>
      </c>
      <c r="BD503" s="60">
        <f t="shared" si="464"/>
        <v>90.424535808506576</v>
      </c>
      <c r="BE503" s="58" t="str">
        <f t="shared" si="465"/>
        <v>-0,000760524697458618-0,00127971497251686i</v>
      </c>
      <c r="BF503" s="37">
        <f t="shared" si="466"/>
        <v>-56.544168730673434</v>
      </c>
      <c r="BG503" s="60">
        <f t="shared" si="467"/>
        <v>-120.72268791923028</v>
      </c>
      <c r="BH503" s="58" t="str">
        <f t="shared" si="468"/>
        <v>0,0853625181068537+0,00943011736996299i</v>
      </c>
      <c r="BI503" s="37">
        <f t="shared" si="469"/>
        <v>-21.32197544494808</v>
      </c>
      <c r="BJ503" s="60">
        <f t="shared" si="470"/>
        <v>6.3039837694589513</v>
      </c>
      <c r="BK503">
        <f t="shared" si="471"/>
        <v>-56.544168730673434</v>
      </c>
      <c r="BL503" s="60">
        <f t="shared" si="472"/>
        <v>-120.72268791923028</v>
      </c>
      <c r="BN503">
        <f t="shared" si="473"/>
        <v>0</v>
      </c>
      <c r="BO503">
        <f t="shared" si="474"/>
        <v>0</v>
      </c>
    </row>
    <row r="504" spans="13:67" x14ac:dyDescent="0.25">
      <c r="M504" s="66">
        <v>86</v>
      </c>
      <c r="N504" s="36">
        <f t="shared" si="475"/>
        <v>724435.96007499192</v>
      </c>
      <c r="O504" s="91" t="str">
        <f t="shared" si="423"/>
        <v>13,7404580152672</v>
      </c>
      <c r="P504" s="67" t="str">
        <f t="shared" si="424"/>
        <v>1+4915,90661076259i</v>
      </c>
      <c r="Q504" s="67">
        <f t="shared" si="435"/>
        <v>4915.9067124732283</v>
      </c>
      <c r="R504" s="67">
        <f t="shared" si="436"/>
        <v>1.5705929055207786</v>
      </c>
      <c r="S504" s="67" t="str">
        <f t="shared" si="425"/>
        <v>1+136,552961410072i</v>
      </c>
      <c r="T504" s="67">
        <f t="shared" si="437"/>
        <v>136.5566229439664</v>
      </c>
      <c r="U504" s="67">
        <f t="shared" si="438"/>
        <v>1.5634732917321934</v>
      </c>
      <c r="V504" t="str">
        <f t="shared" si="426"/>
        <v>1-28,4485336270983i</v>
      </c>
      <c r="W504" s="67">
        <f t="shared" si="439"/>
        <v>28.466103799644632</v>
      </c>
      <c r="X504" s="67">
        <f t="shared" si="440"/>
        <v>-1.5356595971025091</v>
      </c>
      <c r="Y504" t="str">
        <f t="shared" si="427"/>
        <v>-32,5876774559858+49,3629110712236i</v>
      </c>
      <c r="Z504" s="67">
        <f t="shared" si="441"/>
        <v>59.149418521240712</v>
      </c>
      <c r="AA504" s="67">
        <f t="shared" si="442"/>
        <v>2.1542844185832228</v>
      </c>
      <c r="AB504" s="92" t="str">
        <f t="shared" si="443"/>
        <v>-0,156073461991484+0,0968682627589589i</v>
      </c>
      <c r="AC504" s="37">
        <f t="shared" si="444"/>
        <v>-14.718242124211766</v>
      </c>
      <c r="AD504" s="60">
        <f t="shared" si="445"/>
        <v>148.17385743980361</v>
      </c>
      <c r="AE504" t="str">
        <f t="shared" si="446"/>
        <v>21,0353732052265</v>
      </c>
      <c r="AF504" t="str">
        <f t="shared" si="428"/>
        <v>1+2457,9533053813i</v>
      </c>
      <c r="AG504">
        <f t="shared" si="447"/>
        <v>2457.9535088025691</v>
      </c>
      <c r="AH504">
        <f t="shared" si="448"/>
        <v>1.5703894842634958</v>
      </c>
      <c r="AI504" t="str">
        <f t="shared" si="429"/>
        <v>1+136,552961410072i</v>
      </c>
      <c r="AJ504">
        <f t="shared" si="449"/>
        <v>136.5566229439664</v>
      </c>
      <c r="AK504">
        <f t="shared" si="450"/>
        <v>1.5634732917321934</v>
      </c>
      <c r="AL504" t="str">
        <f t="shared" si="430"/>
        <v>1-9,29125217557328i</v>
      </c>
      <c r="AM504">
        <f t="shared" si="451"/>
        <v>9.3449112885085857</v>
      </c>
      <c r="AN504">
        <f t="shared" si="452"/>
        <v>-1.4635809238181128</v>
      </c>
      <c r="AO504" s="58" t="str">
        <f>(IMDIV(IMPRODUCT(AE504,AI504,AL504),IMPRODUCT(AF504)))</f>
        <v>1,09353733814036-10,8661663572691i</v>
      </c>
      <c r="AP504">
        <f t="shared" si="454"/>
        <v>20.765290170571546</v>
      </c>
      <c r="AQ504" s="60">
        <f t="shared" si="455"/>
        <v>-84.253278552979495</v>
      </c>
      <c r="AR504" t="str">
        <f t="shared" si="431"/>
        <v>-1,05811623246493</v>
      </c>
      <c r="AS504" t="str">
        <f t="shared" si="432"/>
        <v>1+134,586598765767i</v>
      </c>
      <c r="AT504">
        <f t="shared" si="456"/>
        <v>134.59031379463218</v>
      </c>
      <c r="AU504">
        <f t="shared" si="457"/>
        <v>1.5633663032460985</v>
      </c>
      <c r="AV504" t="str">
        <f t="shared" si="433"/>
        <v>1+134,586598765767i</v>
      </c>
      <c r="AW504">
        <f t="shared" si="458"/>
        <v>134.59031379463218</v>
      </c>
      <c r="AX504">
        <f t="shared" si="459"/>
        <v>1.5633663032460985</v>
      </c>
      <c r="AY504" t="str">
        <f t="shared" si="434"/>
        <v>1-0,000189131352511897i</v>
      </c>
      <c r="AZ504">
        <f t="shared" si="460"/>
        <v>1.0000000178853341</v>
      </c>
      <c r="BA504">
        <f t="shared" si="461"/>
        <v>-1.8913135025677873E-4</v>
      </c>
      <c r="BB504" s="58" t="str">
        <f t="shared" si="462"/>
        <v>-0,0000569256326313458+0,00786155023260327i</v>
      </c>
      <c r="BC504">
        <f t="shared" si="463"/>
        <v>-42.089608419964279</v>
      </c>
      <c r="BD504" s="60">
        <f t="shared" si="464"/>
        <v>90.41487256288562</v>
      </c>
      <c r="BE504" s="58" t="str">
        <f t="shared" si="465"/>
        <v>-0,000752650133063739-0,0012324936485618i</v>
      </c>
      <c r="BF504" s="37">
        <f t="shared" si="466"/>
        <v>-56.807850544176048</v>
      </c>
      <c r="BG504" s="60">
        <f t="shared" si="467"/>
        <v>-121.4112699973108</v>
      </c>
      <c r="BH504" s="58" t="str">
        <f t="shared" si="468"/>
        <v>0,0853626623487151+0,0092154621091827i</v>
      </c>
      <c r="BI504" s="37">
        <f t="shared" si="469"/>
        <v>-21.324318249392725</v>
      </c>
      <c r="BJ504" s="60">
        <f t="shared" si="470"/>
        <v>6.161594009906139</v>
      </c>
      <c r="BK504">
        <f t="shared" si="471"/>
        <v>-56.807850544176048</v>
      </c>
      <c r="BL504" s="60">
        <f t="shared" si="472"/>
        <v>-121.4112699973108</v>
      </c>
      <c r="BN504">
        <f t="shared" si="473"/>
        <v>0</v>
      </c>
      <c r="BO504">
        <f t="shared" si="474"/>
        <v>0</v>
      </c>
    </row>
    <row r="505" spans="13:67" x14ac:dyDescent="0.25">
      <c r="M505" s="66">
        <v>87</v>
      </c>
      <c r="N505" s="36">
        <f t="shared" si="475"/>
        <v>741310.24130091805</v>
      </c>
      <c r="O505" s="91" t="str">
        <f t="shared" si="423"/>
        <v>13,7404580152672</v>
      </c>
      <c r="P505" s="67" t="str">
        <f t="shared" si="424"/>
        <v>1+5030,41278549997i</v>
      </c>
      <c r="Q505" s="67">
        <f t="shared" si="435"/>
        <v>5030.4128848953906</v>
      </c>
      <c r="R505" s="67">
        <f t="shared" si="436"/>
        <v>1.5705975359541708</v>
      </c>
      <c r="S505" s="67" t="str">
        <f t="shared" si="425"/>
        <v>1+139,733688486111i</v>
      </c>
      <c r="T505" s="67">
        <f t="shared" si="437"/>
        <v>139.73726667547746</v>
      </c>
      <c r="U505" s="67">
        <f t="shared" si="438"/>
        <v>1.5636399786037829</v>
      </c>
      <c r="V505" t="str">
        <f t="shared" si="426"/>
        <v>1-29,111185101273i</v>
      </c>
      <c r="W505" s="67">
        <f t="shared" si="439"/>
        <v>29.128355566364863</v>
      </c>
      <c r="X505" s="67">
        <f t="shared" si="440"/>
        <v>-1.536458770867738</v>
      </c>
      <c r="Y505" t="str">
        <f t="shared" si="427"/>
        <v>-34,170615926888+50,512720977761i</v>
      </c>
      <c r="Z505" s="67">
        <f t="shared" si="441"/>
        <v>60.984965142238352</v>
      </c>
      <c r="AA505" s="67">
        <f t="shared" si="442"/>
        <v>2.1655589234051731</v>
      </c>
      <c r="AB505" s="92" t="str">
        <f t="shared" si="443"/>
        <v>-0,153741292685225+0,0979765570939935i</v>
      </c>
      <c r="AC505" s="37">
        <f t="shared" si="444"/>
        <v>-14.783939831102916</v>
      </c>
      <c r="AD505" s="60">
        <f t="shared" si="445"/>
        <v>147.49137176351235</v>
      </c>
      <c r="AE505" t="str">
        <f t="shared" si="446"/>
        <v>21,0353732052265</v>
      </c>
      <c r="AF505" t="str">
        <f t="shared" si="428"/>
        <v>1+2515,20639274999i</v>
      </c>
      <c r="AG505">
        <f t="shared" si="447"/>
        <v>2515.2065915408252</v>
      </c>
      <c r="AH505">
        <f t="shared" si="448"/>
        <v>1.5703987451291566</v>
      </c>
      <c r="AI505" t="str">
        <f t="shared" si="429"/>
        <v>1+139,733688486111i</v>
      </c>
      <c r="AJ505">
        <f t="shared" si="449"/>
        <v>139.73726667547746</v>
      </c>
      <c r="AK505">
        <f t="shared" si="450"/>
        <v>1.5636399786037829</v>
      </c>
      <c r="AL505" t="str">
        <f t="shared" si="430"/>
        <v>1-9,50767324077742i</v>
      </c>
      <c r="AM505">
        <f t="shared" si="451"/>
        <v>9.5601177008128406</v>
      </c>
      <c r="AN505">
        <f t="shared" si="452"/>
        <v>-1.4660034112517639</v>
      </c>
      <c r="AO505" s="58" t="str">
        <f t="shared" si="453"/>
        <v>1,09353718958037-11,1188982273043i</v>
      </c>
      <c r="AP505">
        <f t="shared" si="454"/>
        <v>20.96304084544137</v>
      </c>
      <c r="AQ505" s="60">
        <f t="shared" si="455"/>
        <v>-84.38305701312585</v>
      </c>
      <c r="AR505" t="str">
        <f t="shared" si="431"/>
        <v>-1,05811623246493</v>
      </c>
      <c r="AS505" t="str">
        <f t="shared" si="432"/>
        <v>1+137,72152337191i</v>
      </c>
      <c r="AT505">
        <f t="shared" si="456"/>
        <v>137.72515383864908</v>
      </c>
      <c r="AU505">
        <f t="shared" si="457"/>
        <v>1.5635354252169062</v>
      </c>
      <c r="AV505" t="str">
        <f t="shared" si="433"/>
        <v>1+137,72152337191i</v>
      </c>
      <c r="AW505">
        <f t="shared" si="458"/>
        <v>137.72515383864908</v>
      </c>
      <c r="AX505">
        <f t="shared" si="459"/>
        <v>1.5635354252169062</v>
      </c>
      <c r="AY505" t="str">
        <f t="shared" si="434"/>
        <v>1-0,00018482619732434i</v>
      </c>
      <c r="AZ505">
        <f t="shared" si="460"/>
        <v>1.0000000170803613</v>
      </c>
      <c r="BA505">
        <f t="shared" si="461"/>
        <v>-1.8482619521974119E-4</v>
      </c>
      <c r="BB505" s="58" t="str">
        <f t="shared" si="462"/>
        <v>-0,0000543636921895355+0,00768261810403809i</v>
      </c>
      <c r="BC505">
        <f t="shared" si="463"/>
        <v>-42.289597636462808</v>
      </c>
      <c r="BD505" s="60">
        <f t="shared" si="464"/>
        <v>90.405429254949169</v>
      </c>
      <c r="BE505" s="58" t="str">
        <f t="shared" si="465"/>
        <v>-0,000744358526989275-0,00118646200591338i</v>
      </c>
      <c r="BF505" s="37">
        <f t="shared" si="466"/>
        <v>-57.073537467565707</v>
      </c>
      <c r="BG505" s="60">
        <f t="shared" si="467"/>
        <v>-122.1031989815384</v>
      </c>
      <c r="BH505" s="58" t="str">
        <f t="shared" si="468"/>
        <v>0,0853628000988729+0,00900569297082503i</v>
      </c>
      <c r="BI505" s="37">
        <f t="shared" si="469"/>
        <v>-21.326556791021435</v>
      </c>
      <c r="BJ505" s="60">
        <f t="shared" si="470"/>
        <v>6.0223722418233185</v>
      </c>
      <c r="BK505">
        <f t="shared" si="471"/>
        <v>-57.073537467565707</v>
      </c>
      <c r="BL505" s="60">
        <f t="shared" si="472"/>
        <v>-122.1031989815384</v>
      </c>
      <c r="BN505">
        <f t="shared" si="473"/>
        <v>0</v>
      </c>
      <c r="BO505">
        <f t="shared" si="474"/>
        <v>0</v>
      </c>
    </row>
    <row r="506" spans="13:67" x14ac:dyDescent="0.25">
      <c r="M506" s="66">
        <v>88</v>
      </c>
      <c r="N506" s="36">
        <f t="shared" si="475"/>
        <v>758577.57502918423</v>
      </c>
      <c r="O506" s="91" t="str">
        <f t="shared" si="423"/>
        <v>13,7404580152672</v>
      </c>
      <c r="P506" s="67" t="str">
        <f t="shared" si="424"/>
        <v>1+5147,58615168163i</v>
      </c>
      <c r="Q506" s="67">
        <f t="shared" si="435"/>
        <v>5147.5862488145349</v>
      </c>
      <c r="R506" s="67">
        <f t="shared" si="436"/>
        <v>1.5706020609860392</v>
      </c>
      <c r="S506" s="67" t="str">
        <f t="shared" si="425"/>
        <v>1+142,988504213379i</v>
      </c>
      <c r="T506" s="67">
        <f t="shared" si="437"/>
        <v>142.99200095522653</v>
      </c>
      <c r="U506" s="67">
        <f t="shared" si="438"/>
        <v>1.5638028716032162</v>
      </c>
      <c r="V506" t="str">
        <f t="shared" si="426"/>
        <v>1-29,7892717111206i</v>
      </c>
      <c r="W506" s="67">
        <f t="shared" si="439"/>
        <v>29.806051551303636</v>
      </c>
      <c r="X506" s="67">
        <f t="shared" si="440"/>
        <v>-1.5372397956186561</v>
      </c>
      <c r="Y506" t="str">
        <f t="shared" si="427"/>
        <v>-35,8281559895782+51,6893133975759i</v>
      </c>
      <c r="Z506" s="67">
        <f t="shared" si="441"/>
        <v>62.892303830646618</v>
      </c>
      <c r="AA506" s="67">
        <f t="shared" si="442"/>
        <v>2.17690635548538</v>
      </c>
      <c r="AB506" s="92" t="str">
        <f t="shared" si="443"/>
        <v>-0,151372461335343+0,099034474847308i</v>
      </c>
      <c r="AC506" s="37">
        <f t="shared" si="444"/>
        <v>-14.851674693268521</v>
      </c>
      <c r="AD506" s="60">
        <f t="shared" si="445"/>
        <v>146.80553619123393</v>
      </c>
      <c r="AE506" t="str">
        <f t="shared" si="446"/>
        <v>21,0353732052265</v>
      </c>
      <c r="AF506" t="str">
        <f t="shared" si="428"/>
        <v>1+2573,79307584082i</v>
      </c>
      <c r="AG506">
        <f t="shared" si="447"/>
        <v>2573.7932701066238</v>
      </c>
      <c r="AH506">
        <f t="shared" si="448"/>
        <v>1.5704077951918445</v>
      </c>
      <c r="AI506" t="str">
        <f t="shared" si="429"/>
        <v>1+142,988504213379i</v>
      </c>
      <c r="AJ506">
        <f t="shared" si="449"/>
        <v>142.99200095522653</v>
      </c>
      <c r="AK506">
        <f t="shared" si="450"/>
        <v>1.5638028716032162</v>
      </c>
      <c r="AL506" t="str">
        <f t="shared" si="430"/>
        <v>1-9,72913540018278i</v>
      </c>
      <c r="AM506">
        <f t="shared" si="451"/>
        <v>9.7803924070095345</v>
      </c>
      <c r="AN506">
        <f t="shared" si="452"/>
        <v>-1.4683719495818883</v>
      </c>
      <c r="AO506" s="58" t="str">
        <f t="shared" si="453"/>
        <v>1,09353704770667-11,3775254843503i</v>
      </c>
      <c r="AP506">
        <f t="shared" si="454"/>
        <v>21.160891678621763</v>
      </c>
      <c r="AQ506" s="60">
        <f t="shared" si="455"/>
        <v>-84.509949712073549</v>
      </c>
      <c r="AR506" t="str">
        <f t="shared" si="431"/>
        <v>-1,05811623246493</v>
      </c>
      <c r="AS506" t="str">
        <f t="shared" si="432"/>
        <v>1+140,929469752706i</v>
      </c>
      <c r="AT506">
        <f t="shared" si="456"/>
        <v>140.93301758203745</v>
      </c>
      <c r="AU506">
        <f t="shared" si="457"/>
        <v>1.5637006979030219</v>
      </c>
      <c r="AV506" t="str">
        <f t="shared" si="433"/>
        <v>1+140,929469752706i</v>
      </c>
      <c r="AW506">
        <f t="shared" si="458"/>
        <v>140.93301758203745</v>
      </c>
      <c r="AX506">
        <f t="shared" si="459"/>
        <v>1.5637006979030219</v>
      </c>
      <c r="AY506" t="str">
        <f t="shared" si="434"/>
        <v>1-0,000180619039433068i</v>
      </c>
      <c r="AZ506">
        <f t="shared" si="460"/>
        <v>1.0000000163116185</v>
      </c>
      <c r="BA506">
        <f t="shared" si="461"/>
        <v>-1.8061903746894212E-4</v>
      </c>
      <c r="BB506" s="58" t="str">
        <f t="shared" si="462"/>
        <v>-0,0000519170461775019+0,00750775772643845i</v>
      </c>
      <c r="BC506">
        <f t="shared" si="463"/>
        <v>-42.489587338273921</v>
      </c>
      <c r="BD506" s="60">
        <f t="shared" si="464"/>
        <v>90.396200879948822</v>
      </c>
      <c r="BE506" s="58" t="str">
        <f t="shared" si="465"/>
        <v>-0,000735668032653502-0,00114160934356424i</v>
      </c>
      <c r="BF506" s="37">
        <f t="shared" si="466"/>
        <v>-57.341262031542435</v>
      </c>
      <c r="BG506" s="60">
        <f t="shared" si="467"/>
        <v>-122.79826292881722</v>
      </c>
      <c r="BH506" s="58" t="str">
        <f t="shared" si="468"/>
        <v>0,0853629316494787+0,00880069873502316i</v>
      </c>
      <c r="BI506" s="37">
        <f t="shared" si="469"/>
        <v>-21.328695659652162</v>
      </c>
      <c r="BJ506" s="60">
        <f t="shared" si="470"/>
        <v>5.8862511678752849</v>
      </c>
      <c r="BK506">
        <f t="shared" si="471"/>
        <v>-57.341262031542435</v>
      </c>
      <c r="BL506" s="60">
        <f t="shared" si="472"/>
        <v>-122.79826292881722</v>
      </c>
      <c r="BN506">
        <f t="shared" si="473"/>
        <v>0</v>
      </c>
      <c r="BO506">
        <f t="shared" si="474"/>
        <v>0</v>
      </c>
    </row>
    <row r="507" spans="13:67" x14ac:dyDescent="0.25">
      <c r="M507" s="66">
        <v>89</v>
      </c>
      <c r="N507" s="36">
        <f t="shared" si="475"/>
        <v>776247.11662869214</v>
      </c>
      <c r="O507" s="91" t="str">
        <f t="shared" si="423"/>
        <v>13,7404580152672</v>
      </c>
      <c r="P507" s="67" t="str">
        <f t="shared" si="424"/>
        <v>1+5267,48883617727i</v>
      </c>
      <c r="Q507" s="67">
        <f t="shared" si="435"/>
        <v>5267.4889310991603</v>
      </c>
      <c r="R507" s="67">
        <f t="shared" si="436"/>
        <v>1.5706064830156146</v>
      </c>
      <c r="S507" s="67" t="str">
        <f t="shared" si="425"/>
        <v>1+146,319134338258i</v>
      </c>
      <c r="T507" s="67">
        <f t="shared" si="437"/>
        <v>146.32255148642395</v>
      </c>
      <c r="U507" s="67">
        <f t="shared" si="438"/>
        <v>1.5639620570639203</v>
      </c>
      <c r="V507" t="str">
        <f t="shared" si="426"/>
        <v>1-30,483152987137i</v>
      </c>
      <c r="W507" s="67">
        <f t="shared" si="439"/>
        <v>30.499551079273267</v>
      </c>
      <c r="X507" s="67">
        <f t="shared" si="440"/>
        <v>-1.5380030816513475</v>
      </c>
      <c r="Y507" t="str">
        <f t="shared" si="427"/>
        <v>-37,563813508759+52,8933121755431i</v>
      </c>
      <c r="Z507" s="67">
        <f t="shared" si="441"/>
        <v>64.874822221107337</v>
      </c>
      <c r="AA507" s="67">
        <f t="shared" si="442"/>
        <v>2.1883223973933514</v>
      </c>
      <c r="AB507" s="92" t="str">
        <f t="shared" si="443"/>
        <v>-0,148968707649176+0,100040258555423i</v>
      </c>
      <c r="AC507" s="37">
        <f t="shared" si="444"/>
        <v>-14.921477808372558</v>
      </c>
      <c r="AD507" s="60">
        <f t="shared" si="445"/>
        <v>146.11657939435491</v>
      </c>
      <c r="AE507" t="str">
        <f t="shared" si="446"/>
        <v>21,0353732052265</v>
      </c>
      <c r="AF507" t="str">
        <f t="shared" si="428"/>
        <v>1+2633,74441808864i</v>
      </c>
      <c r="AG507">
        <f t="shared" si="447"/>
        <v>2633.744607932415</v>
      </c>
      <c r="AH507">
        <f t="shared" si="448"/>
        <v>1.5704166392500165</v>
      </c>
      <c r="AI507" t="str">
        <f t="shared" si="429"/>
        <v>1+146,319134338258i</v>
      </c>
      <c r="AJ507">
        <f t="shared" si="449"/>
        <v>146.32255148642395</v>
      </c>
      <c r="AK507">
        <f t="shared" si="450"/>
        <v>1.5639620570639203</v>
      </c>
      <c r="AL507" t="str">
        <f t="shared" si="430"/>
        <v>1-9,95575607595766i</v>
      </c>
      <c r="AM507">
        <f t="shared" si="451"/>
        <v>10.005852239762882</v>
      </c>
      <c r="AN507">
        <f t="shared" si="452"/>
        <v>-1.4706876882812703</v>
      </c>
      <c r="AO507" s="58" t="str">
        <f t="shared" si="453"/>
        <v>1,09353691221835-11,6421852560025i</v>
      </c>
      <c r="AP507">
        <f t="shared" si="454"/>
        <v>21.358838256128561</v>
      </c>
      <c r="AQ507" s="60">
        <f t="shared" si="455"/>
        <v>-84.634017838152033</v>
      </c>
      <c r="AR507" t="str">
        <f t="shared" si="431"/>
        <v>-1,05811623246493</v>
      </c>
      <c r="AS507" t="str">
        <f t="shared" si="432"/>
        <v>1+144,212138803787i</v>
      </c>
      <c r="AT507">
        <f t="shared" si="456"/>
        <v>144.21560587662742</v>
      </c>
      <c r="AU507">
        <f t="shared" si="457"/>
        <v>1.5638622088980749</v>
      </c>
      <c r="AV507" t="str">
        <f t="shared" si="433"/>
        <v>1+144,212138803787i</v>
      </c>
      <c r="AW507">
        <f t="shared" si="458"/>
        <v>144.21560587662742</v>
      </c>
      <c r="AX507">
        <f t="shared" si="459"/>
        <v>1.5638622088980749</v>
      </c>
      <c r="AY507" t="str">
        <f t="shared" si="434"/>
        <v>1-0,00017650764814728i</v>
      </c>
      <c r="AZ507">
        <f t="shared" si="460"/>
        <v>1.0000000155774749</v>
      </c>
      <c r="BA507">
        <f t="shared" si="461"/>
        <v>-1.7650764631425104E-4</v>
      </c>
      <c r="BB507" s="58" t="str">
        <f t="shared" si="462"/>
        <v>-0,0000495805065367258+0,00733687649829522i</v>
      </c>
      <c r="BC507">
        <f t="shared" si="463"/>
        <v>-42.689577503557061</v>
      </c>
      <c r="BD507" s="60">
        <f t="shared" si="464"/>
        <v>90.387182546948424</v>
      </c>
      <c r="BE507" s="58" t="str">
        <f t="shared" si="465"/>
        <v>-0,000726597077895293-0,00109792505682589i</v>
      </c>
      <c r="BF507" s="37">
        <f t="shared" si="466"/>
        <v>-57.611055311929633</v>
      </c>
      <c r="BG507" s="60">
        <f t="shared" si="467"/>
        <v>-123.49623805869675</v>
      </c>
      <c r="BH507" s="58" t="str">
        <f t="shared" si="468"/>
        <v>0,0853630572795395+0,00860037071346014i</v>
      </c>
      <c r="BI507" s="37">
        <f t="shared" si="469"/>
        <v>-21.330739247428493</v>
      </c>
      <c r="BJ507" s="60">
        <f t="shared" si="470"/>
        <v>5.7531647087963993</v>
      </c>
      <c r="BK507">
        <f t="shared" si="471"/>
        <v>-57.611055311929633</v>
      </c>
      <c r="BL507" s="60">
        <f t="shared" si="472"/>
        <v>-123.49623805869675</v>
      </c>
      <c r="BN507">
        <f t="shared" si="473"/>
        <v>0</v>
      </c>
      <c r="BO507">
        <f t="shared" si="474"/>
        <v>0</v>
      </c>
    </row>
    <row r="508" spans="13:67" x14ac:dyDescent="0.25">
      <c r="M508" s="66">
        <v>90</v>
      </c>
      <c r="N508" s="36">
        <f t="shared" si="475"/>
        <v>794328.23472428333</v>
      </c>
      <c r="O508" s="91" t="str">
        <f t="shared" si="423"/>
        <v>13,7404580152672</v>
      </c>
      <c r="P508" s="67" t="str">
        <f t="shared" si="424"/>
        <v>1+5390,18441297732i</v>
      </c>
      <c r="Q508" s="67">
        <f t="shared" si="435"/>
        <v>5390.1845057385235</v>
      </c>
      <c r="R508" s="67">
        <f t="shared" si="436"/>
        <v>1.5706108043875149</v>
      </c>
      <c r="S508" s="67" t="str">
        <f t="shared" si="425"/>
        <v>1+149,727344804926i</v>
      </c>
      <c r="T508" s="67">
        <f t="shared" si="437"/>
        <v>149.73068417105827</v>
      </c>
      <c r="U508" s="67">
        <f t="shared" si="438"/>
        <v>1.564117619355845</v>
      </c>
      <c r="V508" t="str">
        <f t="shared" si="426"/>
        <v>1-31,1931968343595i</v>
      </c>
      <c r="W508" s="67">
        <f t="shared" si="439"/>
        <v>31.209221854238784</v>
      </c>
      <c r="X508" s="67">
        <f t="shared" si="440"/>
        <v>-1.5387490301105793</v>
      </c>
      <c r="Y508" t="str">
        <f t="shared" si="427"/>
        <v>-39,3812700467326+54,1253556877517i</v>
      </c>
      <c r="Z508" s="67">
        <f t="shared" si="441"/>
        <v>66.93607815535141</v>
      </c>
      <c r="AA508" s="67">
        <f t="shared" si="442"/>
        <v>2.199802541709889</v>
      </c>
      <c r="AB508" s="92" t="str">
        <f t="shared" si="443"/>
        <v>-0,146531895580154+0,100992223991109i</v>
      </c>
      <c r="AC508" s="37">
        <f t="shared" si="444"/>
        <v>-14.99337870912152</v>
      </c>
      <c r="AD508" s="60">
        <f t="shared" si="445"/>
        <v>145.42474134477496</v>
      </c>
      <c r="AE508" t="str">
        <f t="shared" si="446"/>
        <v>21,0353732052265</v>
      </c>
      <c r="AF508" t="str">
        <f t="shared" si="428"/>
        <v>1+2695,09220648866i</v>
      </c>
      <c r="AG508">
        <f t="shared" si="447"/>
        <v>2695.0923920110631</v>
      </c>
      <c r="AH508">
        <f t="shared" si="448"/>
        <v>1.5704252819929039</v>
      </c>
      <c r="AI508" t="str">
        <f t="shared" si="429"/>
        <v>1+149,727344804926i</v>
      </c>
      <c r="AJ508">
        <f t="shared" si="449"/>
        <v>149.73068417105827</v>
      </c>
      <c r="AK508">
        <f t="shared" si="450"/>
        <v>1.564117619355845</v>
      </c>
      <c r="AL508" t="str">
        <f t="shared" si="430"/>
        <v>1-10,187655425384i</v>
      </c>
      <c r="AM508">
        <f t="shared" si="451"/>
        <v>10.236616778328473</v>
      </c>
      <c r="AN508">
        <f t="shared" si="452"/>
        <v>-1.4729517557829215</v>
      </c>
      <c r="AO508" s="58" t="str">
        <f t="shared" si="453"/>
        <v>1,093536782828-11,9130178683754i</v>
      </c>
      <c r="AP508">
        <f t="shared" si="454"/>
        <v>21.556876354502915</v>
      </c>
      <c r="AQ508" s="60">
        <f t="shared" si="455"/>
        <v>-84.755321480441594</v>
      </c>
      <c r="AR508" t="str">
        <f t="shared" si="431"/>
        <v>-1,05811623246493</v>
      </c>
      <c r="AS508" t="str">
        <f t="shared" si="432"/>
        <v>1+147,571271039735i</v>
      </c>
      <c r="AT508">
        <f t="shared" si="456"/>
        <v>147.57465919419545</v>
      </c>
      <c r="AU508">
        <f t="shared" si="457"/>
        <v>1.5640200438036078</v>
      </c>
      <c r="AV508" t="str">
        <f t="shared" si="433"/>
        <v>1+147,571271039735i</v>
      </c>
      <c r="AW508">
        <f t="shared" si="458"/>
        <v>147.57465919419545</v>
      </c>
      <c r="AX508">
        <f t="shared" si="459"/>
        <v>1.5640200438036078</v>
      </c>
      <c r="AY508" t="str">
        <f t="shared" si="434"/>
        <v>1-0,000172489843552893i</v>
      </c>
      <c r="AZ508">
        <f t="shared" si="460"/>
        <v>1.000000014876373</v>
      </c>
      <c r="BA508">
        <f t="shared" si="461"/>
        <v>-1.7248984184221086E-4</v>
      </c>
      <c r="BB508" s="58" t="str">
        <f t="shared" si="462"/>
        <v>-0,0000473491186177923+0,00716988392043745i</v>
      </c>
      <c r="BC508">
        <f t="shared" si="463"/>
        <v>-42.889568111454537</v>
      </c>
      <c r="BD508" s="60">
        <f t="shared" si="464"/>
        <v>90.378369476240692</v>
      </c>
      <c r="BE508" s="58" t="str">
        <f t="shared" si="465"/>
        <v>-0,000717164366777955-0,0010553985747446i</v>
      </c>
      <c r="BF508" s="37">
        <f t="shared" si="466"/>
        <v>-57.882946820576038</v>
      </c>
      <c r="BG508" s="60">
        <f t="shared" si="467"/>
        <v>-124.19688917898424</v>
      </c>
      <c r="BH508" s="58" t="str">
        <f t="shared" si="468"/>
        <v>0,0853631772555058+0,00840460269175096i</v>
      </c>
      <c r="BI508" s="37">
        <f t="shared" si="469"/>
        <v>-21.332691756951622</v>
      </c>
      <c r="BJ508" s="60">
        <f t="shared" si="470"/>
        <v>5.6230479957991006</v>
      </c>
      <c r="BK508">
        <f t="shared" si="471"/>
        <v>-57.882946820576038</v>
      </c>
      <c r="BL508" s="60">
        <f t="shared" si="472"/>
        <v>-124.19688917898424</v>
      </c>
      <c r="BN508">
        <f t="shared" si="473"/>
        <v>0</v>
      </c>
      <c r="BO508">
        <f t="shared" si="474"/>
        <v>0</v>
      </c>
    </row>
    <row r="509" spans="13:67" x14ac:dyDescent="0.25">
      <c r="M509" s="66">
        <v>91</v>
      </c>
      <c r="N509" s="36">
        <f t="shared" si="475"/>
        <v>812830.51616410096</v>
      </c>
      <c r="O509" s="91" t="str">
        <f t="shared" si="423"/>
        <v>13,7404580152672</v>
      </c>
      <c r="P509" s="67" t="str">
        <f t="shared" si="424"/>
        <v>1+5515,73793690064i</v>
      </c>
      <c r="Q509" s="67">
        <f t="shared" si="435"/>
        <v>5515.738027550341</v>
      </c>
      <c r="R509" s="67">
        <f t="shared" si="436"/>
        <v>1.5706150273929882</v>
      </c>
      <c r="S509" s="67" t="str">
        <f t="shared" si="425"/>
        <v>1+153,214942691685i</v>
      </c>
      <c r="T509" s="67">
        <f t="shared" si="437"/>
        <v>153.21820604620169</v>
      </c>
      <c r="U509" s="67">
        <f t="shared" si="438"/>
        <v>1.5642696409300427</v>
      </c>
      <c r="V509" t="str">
        <f t="shared" si="426"/>
        <v>1-31,9197797274342i</v>
      </c>
      <c r="W509" s="67">
        <f t="shared" si="439"/>
        <v>31.935440154285008</v>
      </c>
      <c r="X509" s="67">
        <f t="shared" si="440"/>
        <v>-1.5394780331856006</v>
      </c>
      <c r="Y509" t="str">
        <f t="shared" si="427"/>
        <v>-41,2843806724864+55,3860971799795i</v>
      </c>
      <c r="Z509" s="67">
        <f t="shared" si="441"/>
        <v>69.079807819223859</v>
      </c>
      <c r="AA509" s="67">
        <f t="shared" si="442"/>
        <v>2.2113420992370227</v>
      </c>
      <c r="AB509" s="92" t="str">
        <f t="shared" si="443"/>
        <v>-0,144064009317465+0,101888770014917i</v>
      </c>
      <c r="AC509" s="37">
        <f t="shared" si="444"/>
        <v>-15.067405257295952</v>
      </c>
      <c r="AD509" s="60">
        <f t="shared" si="445"/>
        <v>144.7302728357769</v>
      </c>
      <c r="AE509" t="str">
        <f t="shared" si="446"/>
        <v>21,0353732052265</v>
      </c>
      <c r="AF509" t="str">
        <f t="shared" si="428"/>
        <v>1+2757,86896845032i</v>
      </c>
      <c r="AG509">
        <f t="shared" si="447"/>
        <v>2757.8691497497184</v>
      </c>
      <c r="AH509">
        <f t="shared" si="448"/>
        <v>1.5704337280029983</v>
      </c>
      <c r="AI509" t="str">
        <f t="shared" si="429"/>
        <v>1+153,214942691685i</v>
      </c>
      <c r="AJ509">
        <f t="shared" si="449"/>
        <v>153.21820604620169</v>
      </c>
      <c r="AK509">
        <f t="shared" si="450"/>
        <v>1.5642696409300427</v>
      </c>
      <c r="AL509" t="str">
        <f t="shared" si="430"/>
        <v>1-10,4249564045665i</v>
      </c>
      <c r="AM509">
        <f t="shared" si="451"/>
        <v>10.472808412126714</v>
      </c>
      <c r="AN509">
        <f t="shared" si="452"/>
        <v>-1.4751652596295324</v>
      </c>
      <c r="AO509" s="58" t="str">
        <f t="shared" si="453"/>
        <v>1,09353665926117-12,1901669205052i</v>
      </c>
      <c r="AP509">
        <f t="shared" si="454"/>
        <v>21.75500193293626</v>
      </c>
      <c r="AQ509" s="60">
        <f t="shared" si="455"/>
        <v>-84.873919634924036</v>
      </c>
      <c r="AR509" t="str">
        <f t="shared" si="431"/>
        <v>-1,05811623246493</v>
      </c>
      <c r="AS509" t="str">
        <f t="shared" si="432"/>
        <v>1+151,008647516924i</v>
      </c>
      <c r="AT509">
        <f t="shared" si="456"/>
        <v>151.01195854928375</v>
      </c>
      <c r="AU509">
        <f t="shared" si="457"/>
        <v>1.5641742862743033</v>
      </c>
      <c r="AV509" t="str">
        <f t="shared" si="433"/>
        <v>1+151,008647516924i</v>
      </c>
      <c r="AW509">
        <f t="shared" si="458"/>
        <v>151.01195854928375</v>
      </c>
      <c r="AX509">
        <f t="shared" si="459"/>
        <v>1.5641742862743033</v>
      </c>
      <c r="AY509" t="str">
        <f t="shared" si="434"/>
        <v>1-0,000168563495356732i</v>
      </c>
      <c r="AZ509">
        <f t="shared" si="460"/>
        <v>1.0000000142068259</v>
      </c>
      <c r="BA509">
        <f t="shared" si="461"/>
        <v>-1.6856349376023053E-4</v>
      </c>
      <c r="BB509" s="58" t="str">
        <f t="shared" si="462"/>
        <v>-0,0000452181506833448+0,00700669154854635i</v>
      </c>
      <c r="BC509">
        <f t="shared" si="463"/>
        <v>-43.089559142047243</v>
      </c>
      <c r="BD509" s="60">
        <f t="shared" si="464"/>
        <v>90.369756996822161</v>
      </c>
      <c r="BE509" s="58" t="str">
        <f t="shared" si="465"/>
        <v>-0,000707388875673938-0,00101401929828986i</v>
      </c>
      <c r="BF509" s="37">
        <f t="shared" si="466"/>
        <v>-58.156964399343195</v>
      </c>
      <c r="BG509" s="60">
        <f t="shared" si="467"/>
        <v>-124.89997016740094</v>
      </c>
      <c r="BH509" s="58" t="str">
        <f t="shared" si="468"/>
        <v>0,0853632918318368+0,00821329087313738i</v>
      </c>
      <c r="BI509" s="37">
        <f t="shared" si="469"/>
        <v>-21.334557209110979</v>
      </c>
      <c r="BJ509" s="60">
        <f t="shared" si="470"/>
        <v>5.4958373618981424</v>
      </c>
      <c r="BK509">
        <f t="shared" si="471"/>
        <v>-58.156964399343195</v>
      </c>
      <c r="BL509" s="60">
        <f t="shared" si="472"/>
        <v>-124.89997016740094</v>
      </c>
      <c r="BN509">
        <f t="shared" si="473"/>
        <v>0</v>
      </c>
      <c r="BO509">
        <f t="shared" si="474"/>
        <v>0</v>
      </c>
    </row>
    <row r="510" spans="13:67" x14ac:dyDescent="0.25">
      <c r="M510" s="66">
        <v>92</v>
      </c>
      <c r="N510" s="36">
        <f t="shared" si="475"/>
        <v>831763.77110267128</v>
      </c>
      <c r="O510" s="91" t="str">
        <f t="shared" si="423"/>
        <v>13,7404580152672</v>
      </c>
      <c r="P510" s="67" t="str">
        <f t="shared" si="424"/>
        <v>1+5644,21597808752i</v>
      </c>
      <c r="Q510" s="67">
        <f t="shared" si="435"/>
        <v>5644.2160666737818</v>
      </c>
      <c r="R510" s="67">
        <f t="shared" si="436"/>
        <v>1.5706191542711274</v>
      </c>
      <c r="S510" s="67" t="str">
        <f t="shared" si="425"/>
        <v>1+156,783777169098i</v>
      </c>
      <c r="T510" s="67">
        <f t="shared" si="437"/>
        <v>156.78696624212543</v>
      </c>
      <c r="U510" s="67">
        <f t="shared" si="438"/>
        <v>1.5644182023622417</v>
      </c>
      <c r="V510" t="str">
        <f t="shared" si="426"/>
        <v>1-32,6632869102287i</v>
      </c>
      <c r="W510" s="67">
        <f t="shared" si="439"/>
        <v>32.678591031131027</v>
      </c>
      <c r="X510" s="67">
        <f t="shared" si="440"/>
        <v>-1.5401904743023158</v>
      </c>
      <c r="Y510" t="str">
        <f t="shared" si="427"/>
        <v>-43,2771821388121+56,6762051140538i</v>
      </c>
      <c r="Z510" s="67">
        <f t="shared" si="441"/>
        <v>71.309934230836419</v>
      </c>
      <c r="AA510" s="67">
        <f t="shared" si="442"/>
        <v>2.2229362081723743</v>
      </c>
      <c r="AB510" s="92" t="str">
        <f t="shared" si="443"/>
        <v>-0,141567148379785+0,102728388204406i</v>
      </c>
      <c r="AC510" s="37">
        <f t="shared" si="444"/>
        <v>-15.143583541645132</v>
      </c>
      <c r="AD510" s="60">
        <f t="shared" si="445"/>
        <v>144.03343494779048</v>
      </c>
      <c r="AE510" t="str">
        <f t="shared" si="446"/>
        <v>21,0353732052265</v>
      </c>
      <c r="AF510" t="str">
        <f t="shared" si="428"/>
        <v>1+2822,10798904376i</v>
      </c>
      <c r="AG510">
        <f t="shared" si="447"/>
        <v>2822.1081662162801</v>
      </c>
      <c r="AH510">
        <f t="shared" si="448"/>
        <v>1.5704419817584809</v>
      </c>
      <c r="AI510" t="str">
        <f t="shared" si="429"/>
        <v>1+156,783777169098i</v>
      </c>
      <c r="AJ510">
        <f t="shared" si="449"/>
        <v>156.78696624212543</v>
      </c>
      <c r="AK510">
        <f t="shared" si="450"/>
        <v>1.5644182023622417</v>
      </c>
      <c r="AL510" t="str">
        <f t="shared" si="430"/>
        <v>1-10,6677848336252i</v>
      </c>
      <c r="AM510">
        <f t="shared" si="451"/>
        <v>10.714552405794834</v>
      </c>
      <c r="AN510">
        <f t="shared" si="452"/>
        <v>-1.4773292866401677</v>
      </c>
      <c r="AO510" s="58" t="str">
        <f t="shared" si="453"/>
        <v>1,09353654125576-12,4737793604881i</v>
      </c>
      <c r="AP510">
        <f t="shared" si="454"/>
        <v>21.953211125690405</v>
      </c>
      <c r="AQ510" s="60">
        <f t="shared" si="455"/>
        <v>-84.989870211676646</v>
      </c>
      <c r="AR510" t="str">
        <f t="shared" si="431"/>
        <v>-1,05811623246493</v>
      </c>
      <c r="AS510" t="str">
        <f t="shared" si="432"/>
        <v>1+154,526090777863i</v>
      </c>
      <c r="AT510">
        <f t="shared" si="456"/>
        <v>154.52932644352126</v>
      </c>
      <c r="AU510">
        <f t="shared" si="457"/>
        <v>1.5643250180621879</v>
      </c>
      <c r="AV510" t="str">
        <f t="shared" si="433"/>
        <v>1+154,526090777863i</v>
      </c>
      <c r="AW510">
        <f t="shared" si="458"/>
        <v>154.52932644352126</v>
      </c>
      <c r="AX510">
        <f t="shared" si="459"/>
        <v>1.5643250180621879</v>
      </c>
      <c r="AY510" t="str">
        <f t="shared" si="434"/>
        <v>1-0,000164726521757011i</v>
      </c>
      <c r="AZ510">
        <f t="shared" si="460"/>
        <v>1.0000000135674134</v>
      </c>
      <c r="BA510">
        <f t="shared" si="461"/>
        <v>-1.6472652026706911E-4</v>
      </c>
      <c r="BB510" s="58" t="str">
        <f t="shared" si="462"/>
        <v>-0,0000431830838827689+0,0068472129467254i</v>
      </c>
      <c r="BC510">
        <f t="shared" si="463"/>
        <v>-43.289550576312479</v>
      </c>
      <c r="BD510" s="60">
        <f t="shared" si="464"/>
        <v>90.361340543925181</v>
      </c>
      <c r="BE510" s="58" t="str">
        <f t="shared" si="465"/>
        <v>-0,000697289843665913-0,000973776539822032i</v>
      </c>
      <c r="BF510" s="37">
        <f t="shared" si="466"/>
        <v>-58.433134117957614</v>
      </c>
      <c r="BG510" s="60">
        <f t="shared" si="467"/>
        <v>-125.60522450828434</v>
      </c>
      <c r="BH510" s="58" t="str">
        <f t="shared" si="468"/>
        <v>0,0853634012515403+0,00802633382346286i</v>
      </c>
      <c r="BI510" s="37">
        <f t="shared" si="469"/>
        <v>-21.336339450622074</v>
      </c>
      <c r="BJ510" s="60">
        <f t="shared" si="470"/>
        <v>5.3714703322485375</v>
      </c>
      <c r="BK510">
        <f t="shared" si="471"/>
        <v>-58.433134117957614</v>
      </c>
      <c r="BL510" s="60">
        <f t="shared" si="472"/>
        <v>-125.60522450828434</v>
      </c>
      <c r="BN510">
        <f t="shared" si="473"/>
        <v>0</v>
      </c>
      <c r="BO510">
        <f t="shared" si="474"/>
        <v>0</v>
      </c>
    </row>
    <row r="511" spans="13:67" x14ac:dyDescent="0.25">
      <c r="M511" s="66">
        <v>93</v>
      </c>
      <c r="N511" s="36">
        <f t="shared" si="475"/>
        <v>851138.03820237669</v>
      </c>
      <c r="O511" s="91" t="str">
        <f t="shared" si="423"/>
        <v>13,7404580152672</v>
      </c>
      <c r="P511" s="67" t="str">
        <f t="shared" si="424"/>
        <v>1+5775,68665729602i</v>
      </c>
      <c r="Q511" s="67">
        <f t="shared" si="435"/>
        <v>5775.6867438658128</v>
      </c>
      <c r="R511" s="67">
        <f t="shared" si="436"/>
        <v>1.5706231872100571</v>
      </c>
      <c r="S511" s="67" t="str">
        <f t="shared" si="425"/>
        <v>1+160,435740480445i</v>
      </c>
      <c r="T511" s="67">
        <f t="shared" si="437"/>
        <v>160.43885696273423</v>
      </c>
      <c r="U511" s="67">
        <f t="shared" si="438"/>
        <v>1.5645633823954344</v>
      </c>
      <c r="V511" t="str">
        <f t="shared" si="426"/>
        <v>1-33,4241126000927i</v>
      </c>
      <c r="W511" s="67">
        <f t="shared" si="439"/>
        <v>33.439068514294405</v>
      </c>
      <c r="X511" s="67">
        <f t="shared" si="440"/>
        <v>-1.5408867283118575</v>
      </c>
      <c r="Y511" t="str">
        <f t="shared" si="427"/>
        <v>-45,3639014447995+57,9963635222779i</v>
      </c>
      <c r="Z511" s="67">
        <f t="shared" si="441"/>
        <v>73.630576095136533</v>
      </c>
      <c r="AA511" s="67">
        <f t="shared" si="442"/>
        <v>2.2345798442212592</v>
      </c>
      <c r="AB511" s="92" t="str">
        <f t="shared" si="443"/>
        <v>-0,139043521823458+0,103509672167952i</v>
      </c>
      <c r="AC511" s="37">
        <f t="shared" si="444"/>
        <v>-15.221937780417163</v>
      </c>
      <c r="AD511" s="60">
        <f t="shared" si="445"/>
        <v>143.33449846057906</v>
      </c>
      <c r="AE511" t="str">
        <f t="shared" si="446"/>
        <v>21,0353732052265</v>
      </c>
      <c r="AF511" t="str">
        <f t="shared" si="428"/>
        <v>1+2887,84332864801i</v>
      </c>
      <c r="AG511">
        <f t="shared" si="447"/>
        <v>2887.8435017875913</v>
      </c>
      <c r="AH511">
        <f t="shared" si="448"/>
        <v>1.570450047635598</v>
      </c>
      <c r="AI511" t="str">
        <f t="shared" si="429"/>
        <v>1+160,435740480445i</v>
      </c>
      <c r="AJ511">
        <f t="shared" si="449"/>
        <v>160.43885696273423</v>
      </c>
      <c r="AK511">
        <f t="shared" si="450"/>
        <v>1.5645633823954344</v>
      </c>
      <c r="AL511" t="str">
        <f t="shared" si="430"/>
        <v>1-10,9162694634076i</v>
      </c>
      <c r="AM511">
        <f t="shared" si="451"/>
        <v>10.961976965754181</v>
      </c>
      <c r="AN511">
        <f t="shared" si="452"/>
        <v>-1.4794449030925862</v>
      </c>
      <c r="AO511" s="58" t="str">
        <f t="shared" si="453"/>
        <v>1,09353642856147-12,7640055633941i</v>
      </c>
      <c r="AP511">
        <f t="shared" si="454"/>
        <v>22.151500234803979</v>
      </c>
      <c r="AQ511" s="60">
        <f t="shared" si="455"/>
        <v>-85.103230043014008</v>
      </c>
      <c r="AR511" t="str">
        <f t="shared" si="431"/>
        <v>-1,05811623246493</v>
      </c>
      <c r="AS511" t="str">
        <f t="shared" si="432"/>
        <v>1+158,125465817527i</v>
      </c>
      <c r="AT511">
        <f t="shared" si="456"/>
        <v>158.12862783193273</v>
      </c>
      <c r="AU511">
        <f t="shared" si="457"/>
        <v>1.5644723190598377</v>
      </c>
      <c r="AV511" t="str">
        <f t="shared" si="433"/>
        <v>1+158,125465817527i</v>
      </c>
      <c r="AW511">
        <f t="shared" si="458"/>
        <v>158.12862783193273</v>
      </c>
      <c r="AX511">
        <f t="shared" si="459"/>
        <v>1.5644723190598377</v>
      </c>
      <c r="AY511" t="str">
        <f t="shared" si="434"/>
        <v>1-0,000160976888339538i</v>
      </c>
      <c r="AZ511">
        <f t="shared" si="460"/>
        <v>1.0000000129567792</v>
      </c>
      <c r="BA511">
        <f t="shared" si="461"/>
        <v>-1.6097688694904336E-4</v>
      </c>
      <c r="BB511" s="58" t="str">
        <f t="shared" si="462"/>
        <v>-0,0000412396026774457+0,00669136364210459i</v>
      </c>
      <c r="BC511">
        <f t="shared" si="463"/>
        <v>-43.489542396083522</v>
      </c>
      <c r="BD511" s="60">
        <f t="shared" si="464"/>
        <v>90.353115656605638</v>
      </c>
      <c r="BE511" s="58" t="str">
        <f t="shared" si="465"/>
        <v>-0,000686886757355927-0,000934659464353142i</v>
      </c>
      <c r="BF511" s="37">
        <f t="shared" si="466"/>
        <v>-58.711480176500679</v>
      </c>
      <c r="BG511" s="60">
        <f t="shared" si="467"/>
        <v>-126.31238588281529</v>
      </c>
      <c r="BH511" s="58" t="str">
        <f t="shared" si="468"/>
        <v>0,0853635057466888+0,0078436324174002i</v>
      </c>
      <c r="BI511" s="37">
        <f t="shared" si="469"/>
        <v>-21.338042161279532</v>
      </c>
      <c r="BJ511" s="60">
        <f t="shared" si="470"/>
        <v>5.2498856135916281</v>
      </c>
      <c r="BK511">
        <f t="shared" si="471"/>
        <v>-58.711480176500679</v>
      </c>
      <c r="BL511" s="60">
        <f t="shared" si="472"/>
        <v>-126.31238588281529</v>
      </c>
      <c r="BN511">
        <f t="shared" si="473"/>
        <v>0</v>
      </c>
      <c r="BO511">
        <f t="shared" si="474"/>
        <v>0</v>
      </c>
    </row>
    <row r="512" spans="13:67" x14ac:dyDescent="0.25">
      <c r="M512" s="66">
        <v>94</v>
      </c>
      <c r="N512" s="36">
        <f t="shared" si="475"/>
        <v>870963.58995608077</v>
      </c>
      <c r="O512" s="91" t="str">
        <f t="shared" si="423"/>
        <v>13,7404580152672</v>
      </c>
      <c r="P512" s="67" t="str">
        <f t="shared" si="424"/>
        <v>1+5910,21968202046i</v>
      </c>
      <c r="Q512" s="67">
        <f t="shared" si="435"/>
        <v>5910.2197666196844</v>
      </c>
      <c r="R512" s="67">
        <f t="shared" si="436"/>
        <v>1.5706271283480944</v>
      </c>
      <c r="S512" s="67" t="str">
        <f t="shared" si="425"/>
        <v>1+164,172768945013i</v>
      </c>
      <c r="T512" s="67">
        <f t="shared" si="437"/>
        <v>164.17581448883581</v>
      </c>
      <c r="U512" s="67">
        <f t="shared" si="438"/>
        <v>1.5647052579815017</v>
      </c>
      <c r="V512" t="str">
        <f t="shared" si="426"/>
        <v>1-34,2026601968777i</v>
      </c>
      <c r="W512" s="67">
        <f t="shared" si="439"/>
        <v>34.217275820016447</v>
      </c>
      <c r="X512" s="67">
        <f t="shared" si="440"/>
        <v>-1.5415671616755902</v>
      </c>
      <c r="Y512" t="str">
        <f t="shared" si="427"/>
        <v>-47,5489648018678+59,3472723701141i</v>
      </c>
      <c r="Z512" s="67">
        <f t="shared" si="441"/>
        <v>76.046057041123248</v>
      </c>
      <c r="AA512" s="67">
        <f t="shared" si="442"/>
        <v>2.2462678316105524</v>
      </c>
      <c r="AB512" s="92" t="str">
        <f t="shared" si="443"/>
        <v>-0,136495441586387+0,10423132644992i</v>
      </c>
      <c r="AC512" s="37">
        <f t="shared" si="444"/>
        <v>-15.302490229284704</v>
      </c>
      <c r="AD512" s="60">
        <f t="shared" si="445"/>
        <v>142.63374321391024</v>
      </c>
      <c r="AE512" t="str">
        <f t="shared" si="446"/>
        <v>21,0353732052265</v>
      </c>
      <c r="AF512" t="str">
        <f t="shared" si="428"/>
        <v>1+2955,10984101024i</v>
      </c>
      <c r="AG512">
        <f t="shared" si="447"/>
        <v>2955.1100102086834</v>
      </c>
      <c r="AH512">
        <f t="shared" si="448"/>
        <v>1.57045792991098</v>
      </c>
      <c r="AI512" t="str">
        <f t="shared" si="429"/>
        <v>1+164,172768945013i</v>
      </c>
      <c r="AJ512">
        <f t="shared" si="449"/>
        <v>164.17581448883581</v>
      </c>
      <c r="AK512">
        <f t="shared" si="450"/>
        <v>1.5647052579815017</v>
      </c>
      <c r="AL512" t="str">
        <f t="shared" si="430"/>
        <v>1-11,1705420437534i</v>
      </c>
      <c r="AM512">
        <f t="shared" si="451"/>
        <v>11.215213308326435</v>
      </c>
      <c r="AN512">
        <f t="shared" si="452"/>
        <v>-1.4815131549196434</v>
      </c>
      <c r="AO512" s="58" t="str">
        <f t="shared" si="453"/>
        <v>1,09353632093926-13,060999410998i</v>
      </c>
      <c r="AP512">
        <f t="shared" si="454"/>
        <v>22.349865723077254</v>
      </c>
      <c r="AQ512" s="60">
        <f t="shared" si="455"/>
        <v>-85.21405489248933</v>
      </c>
      <c r="AR512" t="str">
        <f t="shared" si="431"/>
        <v>-1,05811623246493</v>
      </c>
      <c r="AS512" t="str">
        <f t="shared" si="432"/>
        <v>1+161,808681072205i</v>
      </c>
      <c r="AT512">
        <f t="shared" si="456"/>
        <v>161.81177111176601</v>
      </c>
      <c r="AU512">
        <f t="shared" si="457"/>
        <v>1.5646162673426081</v>
      </c>
      <c r="AV512" t="str">
        <f t="shared" si="433"/>
        <v>1+161,808681072205i</v>
      </c>
      <c r="AW512">
        <f t="shared" si="458"/>
        <v>161.81177111176601</v>
      </c>
      <c r="AX512">
        <f t="shared" si="459"/>
        <v>1.5646162673426081</v>
      </c>
      <c r="AY512" t="str">
        <f t="shared" si="434"/>
        <v>1-0,000157312606999044i</v>
      </c>
      <c r="AZ512">
        <f t="shared" si="460"/>
        <v>1.0000000123736281</v>
      </c>
      <c r="BA512">
        <f t="shared" si="461"/>
        <v>-1.5731260570135889E-4</v>
      </c>
      <c r="BB512" s="58" t="str">
        <f t="shared" si="462"/>
        <v>-0,0000393835856963423+0,00653906108045637i</v>
      </c>
      <c r="BC512">
        <f t="shared" si="463"/>
        <v>-43.689534584011071</v>
      </c>
      <c r="BD512" s="60">
        <f t="shared" si="464"/>
        <v>90.345077975385166</v>
      </c>
      <c r="BE512" s="58" t="str">
        <f t="shared" si="465"/>
        <v>-0,000676199330232137-0,000896657033114733i</v>
      </c>
      <c r="BF512" s="37">
        <f t="shared" si="466"/>
        <v>-58.992024813295778</v>
      </c>
      <c r="BG512" s="60">
        <f t="shared" si="467"/>
        <v>-127.02117881070457</v>
      </c>
      <c r="BH512" s="58" t="str">
        <f t="shared" si="468"/>
        <v>0,0853636055389128+0,00766508978590228i</v>
      </c>
      <c r="BI512" s="37">
        <f t="shared" si="469"/>
        <v>-21.33966886093382</v>
      </c>
      <c r="BJ512" s="60">
        <f t="shared" si="470"/>
        <v>5.1310230828958456</v>
      </c>
      <c r="BK512">
        <f t="shared" si="471"/>
        <v>-58.992024813295778</v>
      </c>
      <c r="BL512" s="60">
        <f t="shared" si="472"/>
        <v>-127.02117881070457</v>
      </c>
      <c r="BN512">
        <f t="shared" si="473"/>
        <v>0</v>
      </c>
      <c r="BO512">
        <f t="shared" si="474"/>
        <v>0</v>
      </c>
    </row>
    <row r="513" spans="13:67" x14ac:dyDescent="0.25">
      <c r="M513" s="66">
        <v>95</v>
      </c>
      <c r="N513" s="36">
        <f t="shared" si="475"/>
        <v>891250.93813374708</v>
      </c>
      <c r="O513" s="91" t="str">
        <f t="shared" si="423"/>
        <v>13,7404580152672</v>
      </c>
      <c r="P513" s="67" t="str">
        <f t="shared" si="424"/>
        <v>1+6047,88638345134i</v>
      </c>
      <c r="Q513" s="67">
        <f t="shared" si="435"/>
        <v>6047.8864661248499</v>
      </c>
      <c r="R513" s="67">
        <f t="shared" si="436"/>
        <v>1.5706309797748828</v>
      </c>
      <c r="S513" s="67" t="str">
        <f t="shared" si="425"/>
        <v>1+167,99684398476i</v>
      </c>
      <c r="T513" s="67">
        <f t="shared" si="437"/>
        <v>167.9998202047841</v>
      </c>
      <c r="U513" s="67">
        <f t="shared" si="438"/>
        <v>1.5648439043218982</v>
      </c>
      <c r="V513" t="str">
        <f t="shared" si="426"/>
        <v>1-34,9993424968249i</v>
      </c>
      <c r="W513" s="67">
        <f t="shared" si="439"/>
        <v>35.013625565057581</v>
      </c>
      <c r="X513" s="67">
        <f t="shared" si="440"/>
        <v>-1.5422321326465795</v>
      </c>
      <c r="Y513" t="str">
        <f t="shared" si="427"/>
        <v>-49,8370070223542+60,729647927315i</v>
      </c>
      <c r="Z513" s="67">
        <f t="shared" si="441"/>
        <v>78.560915258936603</v>
      </c>
      <c r="AA513" s="67">
        <f t="shared" si="442"/>
        <v>2.2579948549590867</v>
      </c>
      <c r="AB513" s="92" t="str">
        <f t="shared" si="443"/>
        <v>-0,133925314999987+0,104892174935325i</v>
      </c>
      <c r="AC513" s="37">
        <f t="shared" si="444"/>
        <v>-15.385261095402218</v>
      </c>
      <c r="AD513" s="60">
        <f t="shared" si="445"/>
        <v>141.93145741930098</v>
      </c>
      <c r="AE513" t="str">
        <f t="shared" si="446"/>
        <v>21,0353732052265</v>
      </c>
      <c r="AF513" t="str">
        <f t="shared" si="428"/>
        <v>1+3023,94319172567i</v>
      </c>
      <c r="AG513">
        <f t="shared" si="447"/>
        <v>3023.9433570726874</v>
      </c>
      <c r="AH513">
        <f t="shared" si="448"/>
        <v>1.5704656327639097</v>
      </c>
      <c r="AI513" t="str">
        <f t="shared" si="429"/>
        <v>1+167,99684398476i</v>
      </c>
      <c r="AJ513">
        <f t="shared" si="449"/>
        <v>167.9998202047841</v>
      </c>
      <c r="AK513">
        <f t="shared" si="450"/>
        <v>1.5648439043218982</v>
      </c>
      <c r="AL513" t="str">
        <f t="shared" si="430"/>
        <v>1-11,4307373933504i</v>
      </c>
      <c r="AM513">
        <f t="shared" si="451"/>
        <v>11.47439572943774</v>
      </c>
      <c r="AN513">
        <f t="shared" si="452"/>
        <v>-1.4835350679183692</v>
      </c>
      <c r="AO513" s="58" t="str">
        <f t="shared" si="453"/>
        <v>1,09353621816085-13,3649183733692i</v>
      </c>
      <c r="AP513">
        <f t="shared" si="454"/>
        <v>22.548304207326531</v>
      </c>
      <c r="AQ513" s="60">
        <f t="shared" si="455"/>
        <v>-85.322399464672415</v>
      </c>
      <c r="AR513" t="str">
        <f t="shared" si="431"/>
        <v>-1,05811623246493</v>
      </c>
      <c r="AS513" t="str">
        <f t="shared" si="432"/>
        <v>1+165,577689431379i</v>
      </c>
      <c r="AT513">
        <f t="shared" si="456"/>
        <v>165.58070913434995</v>
      </c>
      <c r="AU513">
        <f t="shared" si="457"/>
        <v>1.5647569392099081</v>
      </c>
      <c r="AV513" t="str">
        <f t="shared" si="433"/>
        <v>1+165,577689431379i</v>
      </c>
      <c r="AW513">
        <f t="shared" si="458"/>
        <v>165.58070913434995</v>
      </c>
      <c r="AX513">
        <f t="shared" si="459"/>
        <v>1.5647569392099081</v>
      </c>
      <c r="AY513" t="str">
        <f t="shared" si="434"/>
        <v>1-0,000153731734885059i</v>
      </c>
      <c r="AZ513">
        <f t="shared" si="460"/>
        <v>1.0000000118167232</v>
      </c>
      <c r="BA513">
        <f t="shared" si="461"/>
        <v>-1.5373173367398877E-4</v>
      </c>
      <c r="BB513" s="58" t="str">
        <f t="shared" si="462"/>
        <v>-0,0000376110970026302+0,00639022458280184i</v>
      </c>
      <c r="BC513">
        <f t="shared" si="463"/>
        <v>-43.88952712352669</v>
      </c>
      <c r="BD513" s="60">
        <f t="shared" si="464"/>
        <v>90.337223239946795</v>
      </c>
      <c r="BE513" s="58" t="str">
        <f t="shared" si="465"/>
        <v>-0,000665247476801693-0,000859757949938706i</v>
      </c>
      <c r="BF513" s="37">
        <f t="shared" si="466"/>
        <v>-59.274788218928904</v>
      </c>
      <c r="BG513" s="60">
        <f t="shared" si="467"/>
        <v>-127.73131934075224</v>
      </c>
      <c r="BH513" s="58" t="str">
        <f t="shared" si="468"/>
        <v>0,0853637008398667+0,00749061126484864i</v>
      </c>
      <c r="BI513" s="37">
        <f t="shared" si="469"/>
        <v>-21.341222916200159</v>
      </c>
      <c r="BJ513" s="60">
        <f t="shared" si="470"/>
        <v>5.0148237752743885</v>
      </c>
      <c r="BK513">
        <f t="shared" si="471"/>
        <v>-59.274788218928904</v>
      </c>
      <c r="BL513" s="60">
        <f t="shared" si="472"/>
        <v>-127.73131934075224</v>
      </c>
      <c r="BN513">
        <f t="shared" si="473"/>
        <v>0</v>
      </c>
      <c r="BO513">
        <f t="shared" si="474"/>
        <v>0</v>
      </c>
    </row>
    <row r="514" spans="13:67" x14ac:dyDescent="0.25">
      <c r="M514" s="66">
        <v>96</v>
      </c>
      <c r="N514" s="36">
        <f t="shared" si="475"/>
        <v>912010.83935591124</v>
      </c>
      <c r="O514" s="91" t="str">
        <f t="shared" si="423"/>
        <v>13,7404580152672</v>
      </c>
      <c r="P514" s="67" t="str">
        <f t="shared" si="424"/>
        <v>1+6188,75975429595i</v>
      </c>
      <c r="Q514" s="67">
        <f t="shared" si="435"/>
        <v>6188.7598350875815</v>
      </c>
      <c r="R514" s="67">
        <f t="shared" si="436"/>
        <v>1.5706347435324985</v>
      </c>
      <c r="S514" s="67" t="str">
        <f t="shared" si="425"/>
        <v>1+171,909993174888i</v>
      </c>
      <c r="T514" s="67">
        <f t="shared" si="437"/>
        <v>171.91290164903288</v>
      </c>
      <c r="U514" s="67">
        <f t="shared" si="438"/>
        <v>1.5649793949074153</v>
      </c>
      <c r="V514" t="str">
        <f t="shared" si="426"/>
        <v>1-35,8145819114349i</v>
      </c>
      <c r="W514" s="67">
        <f t="shared" si="439"/>
        <v>35.82853998547639</v>
      </c>
      <c r="X514" s="67">
        <f t="shared" si="440"/>
        <v>-1.5428819914475613</v>
      </c>
      <c r="Y514" t="str">
        <f t="shared" si="427"/>
        <v>-52,2328813505712+62,1442231476989i</v>
      </c>
      <c r="Z514" s="67">
        <f t="shared" si="441"/>
        <v>81.179913555102075</v>
      </c>
      <c r="AA514" s="67">
        <f t="shared" si="442"/>
        <v>2.2697554719502908</v>
      </c>
      <c r="AB514" s="92" t="str">
        <f t="shared" si="443"/>
        <v>-0,131335636512564+0,105491168664893i</v>
      </c>
      <c r="AC514" s="37">
        <f t="shared" si="444"/>
        <v>-15.470268458298618</v>
      </c>
      <c r="AD514" s="60">
        <f t="shared" si="445"/>
        <v>141.22793692594701</v>
      </c>
      <c r="AE514" t="str">
        <f t="shared" si="446"/>
        <v>21,0353732052265</v>
      </c>
      <c r="AF514" t="str">
        <f t="shared" si="428"/>
        <v>1+3094,37987714798i</v>
      </c>
      <c r="AG514">
        <f t="shared" si="447"/>
        <v>3094.3800387312394</v>
      </c>
      <c r="AH514">
        <f t="shared" si="448"/>
        <v>1.570473160278538</v>
      </c>
      <c r="AI514" t="str">
        <f t="shared" si="429"/>
        <v>1+171,909993174888i</v>
      </c>
      <c r="AJ514">
        <f t="shared" si="449"/>
        <v>171.91290164903288</v>
      </c>
      <c r="AK514">
        <f t="shared" si="450"/>
        <v>1.5649793949074153</v>
      </c>
      <c r="AL514" t="str">
        <f t="shared" si="430"/>
        <v>1-11,696993471217i</v>
      </c>
      <c r="AM514">
        <f t="shared" si="451"/>
        <v>11.739661675946762</v>
      </c>
      <c r="AN514">
        <f t="shared" si="452"/>
        <v>-1.4855116479703809</v>
      </c>
      <c r="AO514" s="58" t="str">
        <f t="shared" si="453"/>
        <v>1,09353612000822-13,6759235923643i</v>
      </c>
      <c r="AP514">
        <f t="shared" si="454"/>
        <v>22.746812451900361</v>
      </c>
      <c r="AQ514" s="60">
        <f t="shared" si="455"/>
        <v>-85.428317415626992</v>
      </c>
      <c r="AR514" t="str">
        <f t="shared" si="431"/>
        <v>-1,05811623246493</v>
      </c>
      <c r="AS514" t="str">
        <f t="shared" si="432"/>
        <v>1+169,434489273169i</v>
      </c>
      <c r="AT514">
        <f t="shared" si="456"/>
        <v>169.43744024051952</v>
      </c>
      <c r="AU514">
        <f t="shared" si="457"/>
        <v>1.5648944092255415</v>
      </c>
      <c r="AV514" t="str">
        <f t="shared" si="433"/>
        <v>1+169,434489273169i</v>
      </c>
      <c r="AW514">
        <f t="shared" si="458"/>
        <v>169.43744024051952</v>
      </c>
      <c r="AX514">
        <f t="shared" si="459"/>
        <v>1.5648944092255415</v>
      </c>
      <c r="AY514" t="str">
        <f t="shared" si="434"/>
        <v>1-0,000150232373371791i</v>
      </c>
      <c r="AZ514">
        <f t="shared" si="460"/>
        <v>1.000000011284883</v>
      </c>
      <c r="BA514">
        <f t="shared" si="461"/>
        <v>-1.5023237224155451E-4</v>
      </c>
      <c r="BB514" s="58" t="str">
        <f t="shared" si="462"/>
        <v>-0,0000359183777528792+0,00624477530298627i</v>
      </c>
      <c r="BC514">
        <f t="shared" si="463"/>
        <v>-44.089519998807411</v>
      </c>
      <c r="BD514" s="60">
        <f t="shared" si="464"/>
        <v>90.329547286882473</v>
      </c>
      <c r="BE514" s="58" t="str">
        <f t="shared" si="465"/>
        <v>-0,00065405128175701-0,00082395061094134i</v>
      </c>
      <c r="BF514" s="37">
        <f t="shared" si="466"/>
        <v>-59.559788457106023</v>
      </c>
      <c r="BG514" s="60">
        <f t="shared" si="467"/>
        <v>-128.44251578717055</v>
      </c>
      <c r="BH514" s="58" t="str">
        <f t="shared" si="468"/>
        <v>0,085363791851679+0,00732010434486082i</v>
      </c>
      <c r="BI514" s="37">
        <f t="shared" si="469"/>
        <v>-21.34270754690705</v>
      </c>
      <c r="BJ514" s="60">
        <f t="shared" si="470"/>
        <v>4.9012298712554916</v>
      </c>
      <c r="BK514">
        <f t="shared" si="471"/>
        <v>-59.559788457106023</v>
      </c>
      <c r="BL514" s="60">
        <f t="shared" si="472"/>
        <v>-128.44251578717055</v>
      </c>
      <c r="BN514">
        <f t="shared" si="473"/>
        <v>0</v>
      </c>
      <c r="BO514">
        <f t="shared" si="474"/>
        <v>0</v>
      </c>
    </row>
    <row r="515" spans="13:67" x14ac:dyDescent="0.25">
      <c r="M515" s="66">
        <v>97</v>
      </c>
      <c r="N515" s="36">
        <f t="shared" si="475"/>
        <v>933254.30079699249</v>
      </c>
      <c r="O515" s="91" t="str">
        <f t="shared" si="423"/>
        <v>13,7404580152672</v>
      </c>
      <c r="P515" s="67" t="str">
        <f t="shared" si="424"/>
        <v>1+6332,91448748021i</v>
      </c>
      <c r="Q515" s="67">
        <f t="shared" si="435"/>
        <v>6332.9145664327989</v>
      </c>
      <c r="R515" s="67">
        <f t="shared" si="436"/>
        <v>1.5706384216165359</v>
      </c>
      <c r="S515" s="67" t="str">
        <f t="shared" si="425"/>
        <v>1+175,914291318895i</v>
      </c>
      <c r="T515" s="67">
        <f t="shared" si="437"/>
        <v>175.91713358916766</v>
      </c>
      <c r="U515" s="67">
        <f t="shared" si="438"/>
        <v>1.5651118015570449</v>
      </c>
      <c r="V515" t="str">
        <f t="shared" si="426"/>
        <v>1-36,6488106914364i</v>
      </c>
      <c r="W515" s="67">
        <f t="shared" si="439"/>
        <v>36.662451160509484</v>
      </c>
      <c r="X515" s="67">
        <f t="shared" si="440"/>
        <v>-1.5435170804454481</v>
      </c>
      <c r="Y515" t="str">
        <f t="shared" si="427"/>
        <v>-54,7416697571894+63,5917480577717i</v>
      </c>
      <c r="Z515" s="67">
        <f t="shared" si="441"/>
        <v>83.908049845341395</v>
      </c>
      <c r="AA515" s="67">
        <f t="shared" si="442"/>
        <v>2.2815441267441252</v>
      </c>
      <c r="AB515" s="92" t="str">
        <f t="shared" si="443"/>
        <v>-0,128728978678254+0,106027392975718i</v>
      </c>
      <c r="AC515" s="37">
        <f t="shared" si="444"/>
        <v>-15.557528198266354</v>
      </c>
      <c r="AD515" s="60">
        <f t="shared" si="445"/>
        <v>140.52348444444075</v>
      </c>
      <c r="AE515" t="str">
        <f t="shared" si="446"/>
        <v>21,0353732052265</v>
      </c>
      <c r="AF515" t="str">
        <f t="shared" si="428"/>
        <v>1+3166,45724374011i</v>
      </c>
      <c r="AG515">
        <f t="shared" si="447"/>
        <v>3166.4574016452857</v>
      </c>
      <c r="AH515">
        <f t="shared" si="448"/>
        <v>1.5704805164460496</v>
      </c>
      <c r="AI515" t="str">
        <f t="shared" si="429"/>
        <v>1+175,914291318895i</v>
      </c>
      <c r="AJ515">
        <f t="shared" si="449"/>
        <v>175.91713358916766</v>
      </c>
      <c r="AK515">
        <f t="shared" si="450"/>
        <v>1.5651118015570449</v>
      </c>
      <c r="AL515" t="str">
        <f t="shared" si="430"/>
        <v>1-11,9694514498501i</v>
      </c>
      <c r="AM515">
        <f t="shared" si="451"/>
        <v>12.011151818635824</v>
      </c>
      <c r="AN515">
        <f t="shared" si="452"/>
        <v>-1.4874438812723922</v>
      </c>
      <c r="AO515" s="58" t="str">
        <f t="shared" si="453"/>
        <v>1,09353602627319-13,9941799670675i</v>
      </c>
      <c r="AP515">
        <f t="shared" si="454"/>
        <v>22.945387362449754</v>
      </c>
      <c r="AQ515" s="60">
        <f t="shared" si="455"/>
        <v>-85.531861364015413</v>
      </c>
      <c r="AR515" t="str">
        <f t="shared" si="431"/>
        <v>-1,05811623246493</v>
      </c>
      <c r="AS515" t="str">
        <f t="shared" si="432"/>
        <v>1+173,381125523903i</v>
      </c>
      <c r="AT515">
        <f t="shared" si="456"/>
        <v>173.38400932016597</v>
      </c>
      <c r="AU515">
        <f t="shared" si="457"/>
        <v>1.5650287502571349</v>
      </c>
      <c r="AV515" t="str">
        <f t="shared" si="433"/>
        <v>1+173,381125523903i</v>
      </c>
      <c r="AW515">
        <f t="shared" si="458"/>
        <v>173.38400932016597</v>
      </c>
      <c r="AX515">
        <f t="shared" si="459"/>
        <v>1.5650287502571349</v>
      </c>
      <c r="AY515" t="str">
        <f t="shared" si="434"/>
        <v>1-0,000146812667051445i</v>
      </c>
      <c r="AZ515">
        <f t="shared" si="460"/>
        <v>1.0000000107769795</v>
      </c>
      <c r="BA515">
        <f t="shared" si="461"/>
        <v>-1.4681266599664693E-4</v>
      </c>
      <c r="BB515" s="58" t="str">
        <f t="shared" si="462"/>
        <v>-0,000034301838231198+0,00610263618620256i</v>
      </c>
      <c r="BC515">
        <f t="shared" si="463"/>
        <v>-44.289513194742447</v>
      </c>
      <c r="BD515" s="60">
        <f t="shared" si="464"/>
        <v>90.322046047491739</v>
      </c>
      <c r="BE515" s="58" t="str">
        <f t="shared" si="465"/>
        <v>-0,000642630964500047-0,000789223057976739i</v>
      </c>
      <c r="BF515" s="37">
        <f t="shared" si="466"/>
        <v>-59.847041393008809</v>
      </c>
      <c r="BG515" s="60">
        <f t="shared" si="467"/>
        <v>-129.15446950806751</v>
      </c>
      <c r="BH515" s="58" t="str">
        <f t="shared" si="468"/>
        <v>0,0853638787673839+0,00715347862225954i</v>
      </c>
      <c r="BI515" s="37">
        <f t="shared" si="469"/>
        <v>-21.344125832292697</v>
      </c>
      <c r="BJ515" s="60">
        <f t="shared" si="470"/>
        <v>4.7901846834763306</v>
      </c>
      <c r="BK515">
        <f t="shared" si="471"/>
        <v>-59.847041393008809</v>
      </c>
      <c r="BL515" s="60">
        <f t="shared" si="472"/>
        <v>-129.15446950806751</v>
      </c>
      <c r="BN515">
        <f t="shared" si="473"/>
        <v>0</v>
      </c>
      <c r="BO515">
        <f t="shared" si="474"/>
        <v>0</v>
      </c>
    </row>
    <row r="516" spans="13:67" x14ac:dyDescent="0.25">
      <c r="M516" s="66">
        <v>98</v>
      </c>
      <c r="N516" s="36">
        <f t="shared" si="475"/>
        <v>954992.58602143743</v>
      </c>
      <c r="O516" s="91" t="str">
        <f t="shared" si="423"/>
        <v>13,7404580152672</v>
      </c>
      <c r="P516" s="67" t="str">
        <f t="shared" si="424"/>
        <v>1+6480,42701575176i</v>
      </c>
      <c r="Q516" s="67">
        <f t="shared" si="435"/>
        <v>6480.4270929071699</v>
      </c>
      <c r="R516" s="67">
        <f t="shared" si="436"/>
        <v>1.5706420159771632</v>
      </c>
      <c r="S516" s="67" t="str">
        <f t="shared" si="425"/>
        <v>1+180,01186154866i</v>
      </c>
      <c r="T516" s="67">
        <f t="shared" si="437"/>
        <v>180.01463912197232</v>
      </c>
      <c r="U516" s="67">
        <f t="shared" si="438"/>
        <v>1.5652411944559641</v>
      </c>
      <c r="V516" t="str">
        <f t="shared" si="426"/>
        <v>1-37,5024711559708i</v>
      </c>
      <c r="W516" s="67">
        <f t="shared" si="439"/>
        <v>37.515801241669116</v>
      </c>
      <c r="X516" s="67">
        <f t="shared" si="440"/>
        <v>-1.5441377343224156</v>
      </c>
      <c r="Y516" t="str">
        <f t="shared" si="427"/>
        <v>-57,3686937187784+65,072990154401i</v>
      </c>
      <c r="Z516" s="67">
        <f t="shared" si="441"/>
        <v>86.750568105539088</v>
      </c>
      <c r="AA516" s="67">
        <f t="shared" si="442"/>
        <v>2.2933551640571026</v>
      </c>
      <c r="AB516" s="92" t="str">
        <f t="shared" si="443"/>
        <v>-0,126107982475958+0,106500073888411i</v>
      </c>
      <c r="AC516" s="37">
        <f t="shared" si="444"/>
        <v>-15.647053932856723</v>
      </c>
      <c r="AD516" s="60">
        <f t="shared" si="445"/>
        <v>139.81840873235967</v>
      </c>
      <c r="AE516" t="str">
        <f t="shared" si="446"/>
        <v>21,0353732052265</v>
      </c>
      <c r="AF516" t="str">
        <f t="shared" si="428"/>
        <v>1+3240,21350787588i</v>
      </c>
      <c r="AG516">
        <f t="shared" si="447"/>
        <v>3240.2136621866953</v>
      </c>
      <c r="AH516">
        <f t="shared" si="448"/>
        <v>1.5704877051667785</v>
      </c>
      <c r="AI516" t="str">
        <f t="shared" si="429"/>
        <v>1+180,01186154866i</v>
      </c>
      <c r="AJ516">
        <f t="shared" si="449"/>
        <v>180.01463912197232</v>
      </c>
      <c r="AK516">
        <f t="shared" si="450"/>
        <v>1.5652411944559641</v>
      </c>
      <c r="AL516" t="str">
        <f t="shared" si="430"/>
        <v>1-12,2482557900763i</v>
      </c>
      <c r="AM516">
        <f t="shared" si="451"/>
        <v>12.289010126903532</v>
      </c>
      <c r="AN516">
        <f t="shared" si="452"/>
        <v>-1.4893327345756591</v>
      </c>
      <c r="AO516" s="58" t="str">
        <f t="shared" si="453"/>
        <v>1,09353593675693-14,3198562412215i</v>
      </c>
      <c r="AP516">
        <f t="shared" si="454"/>
        <v>23.144025979942604</v>
      </c>
      <c r="AQ516" s="60">
        <f t="shared" si="455"/>
        <v>-85.63308290276278</v>
      </c>
      <c r="AR516" t="str">
        <f t="shared" si="431"/>
        <v>-1,05811623246493</v>
      </c>
      <c r="AS516" t="str">
        <f t="shared" si="432"/>
        <v>1+177,419690742359i</v>
      </c>
      <c r="AT516">
        <f t="shared" si="456"/>
        <v>177.42250889645965</v>
      </c>
      <c r="AU516">
        <f t="shared" si="457"/>
        <v>1.5651600335146745</v>
      </c>
      <c r="AV516" t="str">
        <f t="shared" si="433"/>
        <v>1+177,419690742359i</v>
      </c>
      <c r="AW516">
        <f t="shared" si="458"/>
        <v>177.42250889645965</v>
      </c>
      <c r="AX516">
        <f t="shared" si="459"/>
        <v>1.5651600335146745</v>
      </c>
      <c r="AY516" t="str">
        <f t="shared" si="434"/>
        <v>1-0,000143470802750465i</v>
      </c>
      <c r="AZ516">
        <f t="shared" si="460"/>
        <v>1.0000000102919355</v>
      </c>
      <c r="BA516">
        <f t="shared" si="461"/>
        <v>-1.4347080176607018E-4</v>
      </c>
      <c r="BB516" s="58" t="str">
        <f t="shared" si="462"/>
        <v>-0,0000327580502414908+0,005963731928443i</v>
      </c>
      <c r="BC516">
        <f t="shared" si="463"/>
        <v>-44.489506696900818</v>
      </c>
      <c r="BD516" s="60">
        <f t="shared" si="464"/>
        <v>90.314715545630122</v>
      </c>
      <c r="BE516" s="58" t="str">
        <f t="shared" si="465"/>
        <v>-0,000631006839404055-0,00075556293629456i</v>
      </c>
      <c r="BF516" s="37">
        <f t="shared" si="466"/>
        <v>-60.13656062975754</v>
      </c>
      <c r="BG516" s="60">
        <f t="shared" si="467"/>
        <v>-129.86687572201021</v>
      </c>
      <c r="BH516" s="58" t="str">
        <f t="shared" si="468"/>
        <v>0,0853639617713293+0,00699064575113799i</v>
      </c>
      <c r="BI516" s="37">
        <f t="shared" si="469"/>
        <v>-21.34548071695821</v>
      </c>
      <c r="BJ516" s="60">
        <f t="shared" si="470"/>
        <v>4.68163264286735</v>
      </c>
      <c r="BK516">
        <f t="shared" si="471"/>
        <v>-60.13656062975754</v>
      </c>
      <c r="BL516" s="60">
        <f t="shared" si="472"/>
        <v>-129.86687572201021</v>
      </c>
      <c r="BN516">
        <f t="shared" si="473"/>
        <v>0</v>
      </c>
      <c r="BO516">
        <f t="shared" si="474"/>
        <v>0</v>
      </c>
    </row>
    <row r="517" spans="13:67" x14ac:dyDescent="0.25">
      <c r="M517" s="66">
        <v>99</v>
      </c>
      <c r="N517" s="36">
        <f t="shared" si="475"/>
        <v>977237.22095581202</v>
      </c>
      <c r="O517" s="91" t="str">
        <f t="shared" si="423"/>
        <v>13,7404580152672</v>
      </c>
      <c r="P517" s="67" t="str">
        <f t="shared" si="424"/>
        <v>1+6631,37555220565i</v>
      </c>
      <c r="Q517" s="67">
        <f t="shared" si="435"/>
        <v>6631.375627604788</v>
      </c>
      <c r="R517" s="67">
        <f t="shared" si="436"/>
        <v>1.5706455285201575</v>
      </c>
      <c r="S517" s="67" t="str">
        <f t="shared" si="425"/>
        <v>1+184,204876450157i</v>
      </c>
      <c r="T517" s="67">
        <f t="shared" si="437"/>
        <v>184.20759079912426</v>
      </c>
      <c r="U517" s="67">
        <f t="shared" si="438"/>
        <v>1.5653676421926601</v>
      </c>
      <c r="V517" t="str">
        <f t="shared" si="426"/>
        <v>1-38,3760159271161i</v>
      </c>
      <c r="W517" s="67">
        <f t="shared" si="439"/>
        <v>38.389042687181835</v>
      </c>
      <c r="X517" s="67">
        <f t="shared" si="440"/>
        <v>-1.5447442802436071</v>
      </c>
      <c r="Y517" t="str">
        <f t="shared" si="427"/>
        <v>-60,1195255053722+66,5887348117531i</v>
      </c>
      <c r="Z517" s="67">
        <f t="shared" si="441"/>
        <v>89.712969802705103</v>
      </c>
      <c r="AA517" s="67">
        <f t="shared" si="442"/>
        <v>2.3051828438316995</v>
      </c>
      <c r="AB517" s="92" t="str">
        <f t="shared" si="443"/>
        <v>-0,123475347032296+0,106908583668766i</v>
      </c>
      <c r="AC517" s="37">
        <f t="shared" si="444"/>
        <v>-15.738856962030967</v>
      </c>
      <c r="AD517" s="60">
        <f t="shared" si="445"/>
        <v>139.11302374623074</v>
      </c>
      <c r="AE517" t="str">
        <f t="shared" si="446"/>
        <v>21,0353732052265</v>
      </c>
      <c r="AF517" t="str">
        <f t="shared" si="428"/>
        <v>1+3315,68777610283i</v>
      </c>
      <c r="AG517">
        <f t="shared" si="447"/>
        <v>3315.6879269011019</v>
      </c>
      <c r="AH517">
        <f t="shared" si="448"/>
        <v>1.5704947302522767</v>
      </c>
      <c r="AI517" t="str">
        <f t="shared" si="429"/>
        <v>1+184,204876450157i</v>
      </c>
      <c r="AJ517">
        <f t="shared" si="449"/>
        <v>184.20759079912426</v>
      </c>
      <c r="AK517">
        <f t="shared" si="450"/>
        <v>1.5653676421926601</v>
      </c>
      <c r="AL517" t="str">
        <f t="shared" si="430"/>
        <v>1-12,5335543176473i</v>
      </c>
      <c r="AM517">
        <f t="shared" si="451"/>
        <v>12.573383945200083</v>
      </c>
      <c r="AN517">
        <f t="shared" si="452"/>
        <v>-1.4911791554332903</v>
      </c>
      <c r="AO517" s="58" t="str">
        <f t="shared" si="453"/>
        <v>1,09353585126956-14,6531250926978i</v>
      </c>
      <c r="AP517">
        <f t="shared" si="454"/>
        <v>23.342725474915916</v>
      </c>
      <c r="AQ517" s="60">
        <f t="shared" si="455"/>
        <v>-85.732032611218074</v>
      </c>
      <c r="AR517" t="str">
        <f t="shared" si="431"/>
        <v>-1,05811623246493</v>
      </c>
      <c r="AS517" t="str">
        <f t="shared" si="432"/>
        <v>1+181,552326229275i</v>
      </c>
      <c r="AT517">
        <f t="shared" si="456"/>
        <v>181.55508023534097</v>
      </c>
      <c r="AU517">
        <f t="shared" si="457"/>
        <v>1.5652883285881687</v>
      </c>
      <c r="AV517" t="str">
        <f t="shared" si="433"/>
        <v>1+181,552326229275i</v>
      </c>
      <c r="AW517">
        <f t="shared" si="458"/>
        <v>181.55508023534097</v>
      </c>
      <c r="AX517">
        <f t="shared" si="459"/>
        <v>1.5652883285881687</v>
      </c>
      <c r="AY517" t="str">
        <f t="shared" si="434"/>
        <v>1-0,000140205008568163i</v>
      </c>
      <c r="AZ517">
        <f t="shared" si="460"/>
        <v>1.0000000098287221</v>
      </c>
      <c r="BA517">
        <f t="shared" si="461"/>
        <v>-1.4020500764947227E-4</v>
      </c>
      <c r="BB517" s="58" t="str">
        <f t="shared" si="462"/>
        <v>-0,00003128373984174+0,00582798893685822i</v>
      </c>
      <c r="BC517">
        <f t="shared" si="463"/>
        <v>-44.689500491501207</v>
      </c>
      <c r="BD517" s="60">
        <f t="shared" si="464"/>
        <v>90.30755189560621</v>
      </c>
      <c r="BE517" s="58" t="str">
        <f t="shared" si="465"/>
        <v>-0,000619199272243323-0,000722957456797293i</v>
      </c>
      <c r="BF517" s="37">
        <f t="shared" si="466"/>
        <v>-60.428357453532172</v>
      </c>
      <c r="BG517" s="60">
        <f t="shared" si="467"/>
        <v>-130.57942435816307</v>
      </c>
      <c r="BH517" s="58" t="str">
        <f t="shared" si="468"/>
        <v>0,0853640410395636+0,00683151939652526i</v>
      </c>
      <c r="BI517" s="37">
        <f t="shared" si="469"/>
        <v>-21.346775016585298</v>
      </c>
      <c r="BJ517" s="60">
        <f t="shared" si="470"/>
        <v>4.5755192843881449</v>
      </c>
      <c r="BK517">
        <f t="shared" si="471"/>
        <v>-60.428357453532172</v>
      </c>
      <c r="BL517" s="60">
        <f t="shared" si="472"/>
        <v>-130.57942435816307</v>
      </c>
      <c r="BN517">
        <f t="shared" si="473"/>
        <v>0</v>
      </c>
      <c r="BO517">
        <f t="shared" si="474"/>
        <v>0</v>
      </c>
    </row>
    <row r="518" spans="13:67" x14ac:dyDescent="0.25">
      <c r="M518" s="66">
        <v>100</v>
      </c>
      <c r="N518" s="36">
        <f t="shared" si="475"/>
        <v>1000000</v>
      </c>
      <c r="O518" s="91" t="str">
        <f t="shared" si="423"/>
        <v>13,7404580152672</v>
      </c>
      <c r="P518" s="67" t="str">
        <f t="shared" si="424"/>
        <v>1+6785,84013175396i</v>
      </c>
      <c r="Q518" s="67">
        <f t="shared" si="435"/>
        <v>6785.8402054368034</v>
      </c>
      <c r="R518" s="67">
        <f t="shared" si="436"/>
        <v>1.5706489611079153</v>
      </c>
      <c r="S518" s="67" t="str">
        <f t="shared" si="425"/>
        <v>1+188,495559215388i</v>
      </c>
      <c r="T518" s="67">
        <f t="shared" si="437"/>
        <v>188.49821177910903</v>
      </c>
      <c r="U518" s="67">
        <f t="shared" si="438"/>
        <v>1.5654912117952129</v>
      </c>
      <c r="V518" t="str">
        <f t="shared" si="426"/>
        <v>1-39,2699081698724i</v>
      </c>
      <c r="W518" s="67">
        <f t="shared" si="439"/>
        <v>39.282638501890517</v>
      </c>
      <c r="X518" s="67">
        <f t="shared" si="440"/>
        <v>-1.5453370380214999</v>
      </c>
      <c r="Y518" t="str">
        <f t="shared" si="427"/>
        <v>-63,0000000000002+68,1397856977084i</v>
      </c>
      <c r="Z518" s="67">
        <f t="shared" si="441"/>
        <v>92.80102582908043</v>
      </c>
      <c r="AA518" s="67">
        <f t="shared" si="442"/>
        <v>2.3170213564096387</v>
      </c>
      <c r="AB518" s="92" t="str">
        <f t="shared" si="443"/>
        <v>-0,120833818831299+0,107252445500367i</v>
      </c>
      <c r="AC518" s="37">
        <f t="shared" si="444"/>
        <v>-15.83294622244922</v>
      </c>
      <c r="AD518" s="60">
        <f t="shared" si="445"/>
        <v>138.40764776476638</v>
      </c>
      <c r="AE518" t="str">
        <f t="shared" si="446"/>
        <v>21,0353732052265</v>
      </c>
      <c r="AF518" t="str">
        <f t="shared" si="428"/>
        <v>1+3392,92006587698i</v>
      </c>
      <c r="AG518">
        <f t="shared" si="447"/>
        <v>3392.9202132426653</v>
      </c>
      <c r="AH518">
        <f t="shared" si="448"/>
        <v>1.5705015954273347</v>
      </c>
      <c r="AI518" t="str">
        <f t="shared" si="429"/>
        <v>1+188,495559215388i</v>
      </c>
      <c r="AJ518">
        <f t="shared" si="449"/>
        <v>188.49821177910903</v>
      </c>
      <c r="AK518">
        <f t="shared" si="450"/>
        <v>1.5654912117952129</v>
      </c>
      <c r="AL518" t="str">
        <f t="shared" si="430"/>
        <v>1-12,8254983016186i</v>
      </c>
      <c r="AM518">
        <f t="shared" si="451"/>
        <v>12.864424071244759</v>
      </c>
      <c r="AN518">
        <f t="shared" si="452"/>
        <v>-1.4929840724544139</v>
      </c>
      <c r="AO518" s="58" t="str">
        <f t="shared" si="453"/>
        <v>1,09353576962977-14,994163225053i</v>
      </c>
      <c r="AP518">
        <f t="shared" si="454"/>
        <v>23.541483141957251</v>
      </c>
      <c r="AQ518" s="60">
        <f t="shared" si="455"/>
        <v>-85.828760067753834</v>
      </c>
      <c r="AR518" t="str">
        <f t="shared" si="431"/>
        <v>-1,05811623246493</v>
      </c>
      <c r="AS518" t="str">
        <f t="shared" si="432"/>
        <v>1+185,781223162686i</v>
      </c>
      <c r="AT518">
        <f t="shared" si="456"/>
        <v>185.78391448083909</v>
      </c>
      <c r="AU518">
        <f t="shared" si="457"/>
        <v>1.5654137034844606</v>
      </c>
      <c r="AV518" t="str">
        <f t="shared" si="433"/>
        <v>1+185,781223162686i</v>
      </c>
      <c r="AW518">
        <f t="shared" si="458"/>
        <v>185.78391448083909</v>
      </c>
      <c r="AX518">
        <f t="shared" si="459"/>
        <v>1.5654137034844606</v>
      </c>
      <c r="AY518" t="str">
        <f t="shared" si="434"/>
        <v>1-0,000137013552937238i</v>
      </c>
      <c r="AZ518">
        <f t="shared" si="460"/>
        <v>1.0000000093863568</v>
      </c>
      <c r="BA518">
        <f t="shared" si="461"/>
        <v>-1.3701355207986594E-4</v>
      </c>
      <c r="BB518" s="58" t="str">
        <f t="shared" si="462"/>
        <v>-0,0000298757804049663+0,00569533529100502i</v>
      </c>
      <c r="BC518">
        <f t="shared" si="463"/>
        <v>-44.889494565382265</v>
      </c>
      <c r="BD518" s="60">
        <f t="shared" si="464"/>
        <v>90.300551300126443</v>
      </c>
      <c r="BE518" s="58" t="str">
        <f t="shared" si="465"/>
        <v>-0,000607228633267935-0,000691393363246469i</v>
      </c>
      <c r="BF518" s="37">
        <f t="shared" si="466"/>
        <v>-60.722440787831495</v>
      </c>
      <c r="BG518" s="60">
        <f t="shared" si="467"/>
        <v>-131.29180093510712</v>
      </c>
      <c r="BH518" s="58" t="str">
        <f t="shared" si="468"/>
        <v>0,0853641167402156+0,00667601518861667i</v>
      </c>
      <c r="BI518" s="37">
        <f t="shared" si="469"/>
        <v>-21.348011423425017</v>
      </c>
      <c r="BJ518" s="60">
        <f t="shared" si="470"/>
        <v>4.4717912323726159</v>
      </c>
      <c r="BK518">
        <f t="shared" si="471"/>
        <v>-60.722440787831495</v>
      </c>
      <c r="BL518" s="60">
        <f t="shared" si="472"/>
        <v>-131.29180093510712</v>
      </c>
      <c r="BN518">
        <f t="shared" si="473"/>
        <v>0</v>
      </c>
      <c r="BO518">
        <f t="shared" si="474"/>
        <v>0</v>
      </c>
    </row>
    <row r="519" spans="13:67" x14ac:dyDescent="0.25">
      <c r="M519" s="66">
        <v>1</v>
      </c>
      <c r="N519" s="36">
        <f>10^(6+(M519/100))</f>
        <v>1023292.9922807553</v>
      </c>
      <c r="O519" s="91" t="str">
        <f t="shared" si="423"/>
        <v>13,7404580152672</v>
      </c>
      <c r="P519" s="67" t="str">
        <f t="shared" si="424"/>
        <v>1+6943,90265356134i</v>
      </c>
      <c r="Q519" s="67">
        <f t="shared" si="435"/>
        <v>6943.9027255669571</v>
      </c>
      <c r="R519" s="67">
        <f t="shared" si="436"/>
        <v>1.5706523155604399</v>
      </c>
      <c r="S519" s="67" t="str">
        <f t="shared" si="425"/>
        <v>1+192,886184821149i</v>
      </c>
      <c r="T519" s="67">
        <f t="shared" si="437"/>
        <v>192.88877700596902</v>
      </c>
      <c r="U519" s="67">
        <f t="shared" si="438"/>
        <v>1.565611968766758</v>
      </c>
      <c r="V519" t="str">
        <f t="shared" si="426"/>
        <v>1-40,1846218377393i</v>
      </c>
      <c r="W519" s="67">
        <f t="shared" si="439"/>
        <v>40.197062482750084</v>
      </c>
      <c r="X519" s="67">
        <f t="shared" si="440"/>
        <v>-1.5459163202769801</v>
      </c>
      <c r="Y519" t="str">
        <f t="shared" si="427"/>
        <v>-66,0162270752579+69,7269651999775i</v>
      </c>
      <c r="Z519" s="67">
        <f t="shared" si="441"/>
        <v>96.020788963905559</v>
      </c>
      <c r="AA519" s="67">
        <f t="shared" si="442"/>
        <v>2.3288648381176698</v>
      </c>
      <c r="AB519" s="92" t="str">
        <f t="shared" si="443"/>
        <v>-0,118186180501207+0,107531337214119i</v>
      </c>
      <c r="AC519" s="37">
        <f t="shared" si="444"/>
        <v>-15.929328251302902</v>
      </c>
      <c r="AD519" s="60">
        <f t="shared" si="445"/>
        <v>137.70260248861422</v>
      </c>
      <c r="AE519" t="str">
        <f t="shared" si="446"/>
        <v>21,0353732052265</v>
      </c>
      <c r="AF519" t="str">
        <f t="shared" si="428"/>
        <v>1+3471,95132678067i</v>
      </c>
      <c r="AG519">
        <f t="shared" si="447"/>
        <v>3471.9514707919029</v>
      </c>
      <c r="AH519">
        <f t="shared" si="448"/>
        <v>1.5705083043319565</v>
      </c>
      <c r="AI519" t="str">
        <f t="shared" si="429"/>
        <v>1+192,886184821149i</v>
      </c>
      <c r="AJ519">
        <f t="shared" si="449"/>
        <v>192.88877700596902</v>
      </c>
      <c r="AK519">
        <f t="shared" si="450"/>
        <v>1.565611968766758</v>
      </c>
      <c r="AL519" t="str">
        <f t="shared" si="430"/>
        <v>1-13,1242425345551i</v>
      </c>
      <c r="AM519">
        <f t="shared" si="451"/>
        <v>13.162284836069505</v>
      </c>
      <c r="AN519">
        <f t="shared" si="452"/>
        <v>-1.4947483955642764</v>
      </c>
      <c r="AO519" s="58" t="str">
        <f t="shared" si="453"/>
        <v>1,09353569166436-15,3431514612192i</v>
      </c>
      <c r="AP519">
        <f t="shared" si="454"/>
        <v>23.740296394407444</v>
      </c>
      <c r="AQ519" s="60">
        <f t="shared" si="455"/>
        <v>-85.923313862750035</v>
      </c>
      <c r="AR519" t="str">
        <f t="shared" si="431"/>
        <v>-1,05811623246493</v>
      </c>
      <c r="AS519" t="str">
        <f t="shared" si="432"/>
        <v>1+190,108623759724i</v>
      </c>
      <c r="AT519">
        <f t="shared" si="456"/>
        <v>190.11125381685403</v>
      </c>
      <c r="AU519">
        <f t="shared" si="457"/>
        <v>1.565536224663205</v>
      </c>
      <c r="AV519" t="str">
        <f t="shared" si="433"/>
        <v>1+190,108623759724i</v>
      </c>
      <c r="AW519">
        <f t="shared" si="458"/>
        <v>190.11125381685403</v>
      </c>
      <c r="AX519">
        <f t="shared" si="459"/>
        <v>1.565536224663205</v>
      </c>
      <c r="AY519" t="str">
        <f t="shared" si="434"/>
        <v>1-0,000133894743705668i</v>
      </c>
      <c r="AZ519">
        <f t="shared" si="460"/>
        <v>1.0000000089639012</v>
      </c>
      <c r="BA519">
        <f t="shared" si="461"/>
        <v>-1.3389474290552184E-4</v>
      </c>
      <c r="BB519" s="58" t="str">
        <f t="shared" si="462"/>
        <v>-0,0000285311859921784+0,00556570070496245i</v>
      </c>
      <c r="BC519">
        <f t="shared" si="463"/>
        <v>-45.089488905975095</v>
      </c>
      <c r="BD519" s="60">
        <f t="shared" si="464"/>
        <v>90.293710048286215</v>
      </c>
      <c r="BE519" s="58" t="str">
        <f t="shared" si="465"/>
        <v>-0,000595115247440592-0,000660856904714431i</v>
      </c>
      <c r="BF519" s="37">
        <f t="shared" si="466"/>
        <v>-61.018817157278001</v>
      </c>
      <c r="BG519" s="60">
        <f t="shared" si="467"/>
        <v>-132.00368746309954</v>
      </c>
      <c r="BH519" s="58" t="str">
        <f t="shared" si="468"/>
        <v>0,0853641890338454+0,00652405067804414i</v>
      </c>
      <c r="BI519" s="37">
        <f t="shared" si="469"/>
        <v>-21.349192511567651</v>
      </c>
      <c r="BJ519" s="60">
        <f t="shared" si="470"/>
        <v>4.3703961855362072</v>
      </c>
      <c r="BK519">
        <f t="shared" si="471"/>
        <v>-61.018817157278001</v>
      </c>
      <c r="BL519" s="60">
        <f t="shared" si="472"/>
        <v>-132.00368746309954</v>
      </c>
      <c r="BN519">
        <f t="shared" si="473"/>
        <v>0</v>
      </c>
      <c r="BO519">
        <f t="shared" si="474"/>
        <v>0</v>
      </c>
    </row>
    <row r="520" spans="13:67" x14ac:dyDescent="0.25">
      <c r="M520" s="66">
        <v>2</v>
      </c>
      <c r="N520" s="36">
        <f t="shared" ref="N520:N560" si="476">10^(6+(M520/100))</f>
        <v>1047128.5480509007</v>
      </c>
      <c r="O520" s="91" t="str">
        <f t="shared" si="423"/>
        <v>13,7404580152672</v>
      </c>
      <c r="P520" s="67" t="str">
        <f t="shared" si="424"/>
        <v>1+7105,64692446905i</v>
      </c>
      <c r="Q520" s="67">
        <f t="shared" si="435"/>
        <v>7105.6469948356198</v>
      </c>
      <c r="R520" s="67">
        <f t="shared" si="436"/>
        <v>1.5706555936563058</v>
      </c>
      <c r="S520" s="67" t="str">
        <f t="shared" si="425"/>
        <v>1+197,379081235252i</v>
      </c>
      <c r="T520" s="67">
        <f t="shared" si="437"/>
        <v>197.38161441550784</v>
      </c>
      <c r="U520" s="67">
        <f t="shared" si="438"/>
        <v>1.5657299771201449</v>
      </c>
      <c r="V520" t="str">
        <f t="shared" si="426"/>
        <v>1-41,1206419240107i</v>
      </c>
      <c r="W520" s="67">
        <f t="shared" si="439"/>
        <v>41.132799470042229</v>
      </c>
      <c r="X520" s="67">
        <f t="shared" si="440"/>
        <v>-1.5464824325971684</v>
      </c>
      <c r="Y520" t="str">
        <f t="shared" si="427"/>
        <v>-69,1746045531641+71,3511148621409i</v>
      </c>
      <c r="Z520" s="67">
        <f t="shared" si="441"/>
        <v>99.378606888792007</v>
      </c>
      <c r="AA520" s="67">
        <f t="shared" si="442"/>
        <v>2.3407073871695738</v>
      </c>
      <c r="AB520" s="92" t="str">
        <f t="shared" si="443"/>
        <v>-0,115535239275031+0,107745094031277i</v>
      </c>
      <c r="AC520" s="37">
        <f t="shared" si="444"/>
        <v>-16.028007160017236</v>
      </c>
      <c r="AD520" s="60">
        <f t="shared" si="445"/>
        <v>136.99821212212461</v>
      </c>
      <c r="AE520" t="str">
        <f t="shared" si="446"/>
        <v>21,0353732052265</v>
      </c>
      <c r="AF520" t="str">
        <f t="shared" si="428"/>
        <v>1+3552,82346223453i</v>
      </c>
      <c r="AG520">
        <f t="shared" si="447"/>
        <v>3552.8236029676659</v>
      </c>
      <c r="AH520">
        <f t="shared" si="448"/>
        <v>1.5705148605232899</v>
      </c>
      <c r="AI520" t="str">
        <f t="shared" si="429"/>
        <v>1+197,379081235252i</v>
      </c>
      <c r="AJ520">
        <f t="shared" si="449"/>
        <v>197.38161441550784</v>
      </c>
      <c r="AK520">
        <f t="shared" si="450"/>
        <v>1.5657299771201449</v>
      </c>
      <c r="AL520" t="str">
        <f t="shared" si="430"/>
        <v>1-13,4299454146032i</v>
      </c>
      <c r="AM520">
        <f t="shared" si="451"/>
        <v>13.467124185928542</v>
      </c>
      <c r="AN520">
        <f t="shared" si="452"/>
        <v>-1.4964730162693971</v>
      </c>
      <c r="AO520" s="58" t="str">
        <f t="shared" si="453"/>
        <v>1,09353561720798-15,7002748393786i</v>
      </c>
      <c r="AP520">
        <f t="shared" si="454"/>
        <v>23.939162759277153</v>
      </c>
      <c r="AQ520" s="60">
        <f t="shared" si="455"/>
        <v>-86.015741611911039</v>
      </c>
      <c r="AR520" t="str">
        <f t="shared" si="431"/>
        <v>-1,05811623246493</v>
      </c>
      <c r="AS520" t="str">
        <f t="shared" si="432"/>
        <v>1+194,536822465464i</v>
      </c>
      <c r="AT520">
        <f t="shared" si="456"/>
        <v>194.53939265598487</v>
      </c>
      <c r="AU520">
        <f t="shared" si="457"/>
        <v>1.5656559570720299</v>
      </c>
      <c r="AV520" t="str">
        <f t="shared" si="433"/>
        <v>1+194,536822465464i</v>
      </c>
      <c r="AW520">
        <f t="shared" si="458"/>
        <v>194.53939265598487</v>
      </c>
      <c r="AX520">
        <f t="shared" si="459"/>
        <v>1.5656559570720299</v>
      </c>
      <c r="AY520" t="str">
        <f t="shared" si="434"/>
        <v>1-0,000130846927239517i</v>
      </c>
      <c r="AZ520">
        <f t="shared" si="460"/>
        <v>1.0000000085604592</v>
      </c>
      <c r="BA520">
        <f t="shared" si="461"/>
        <v>-1.3084692649277714E-4</v>
      </c>
      <c r="BB520" s="58" t="str">
        <f t="shared" si="462"/>
        <v>-0,000027247105023313+0,00543901649029838i</v>
      </c>
      <c r="BC520">
        <f t="shared" si="463"/>
        <v>-45.28948350127628</v>
      </c>
      <c r="BD520" s="60">
        <f t="shared" si="464"/>
        <v>90.287024513606809</v>
      </c>
      <c r="BE520" s="58" t="str">
        <f t="shared" si="465"/>
        <v>-0,000582879342386445-0,00063133381352028i</v>
      </c>
      <c r="BF520" s="37">
        <f t="shared" si="466"/>
        <v>-61.317490661293512</v>
      </c>
      <c r="BG520" s="60">
        <f t="shared" si="467"/>
        <v>-132.71476336426858</v>
      </c>
      <c r="BH520" s="58" t="str">
        <f t="shared" si="468"/>
        <v>0,0853642580737882+0,00637554529216625i</v>
      </c>
      <c r="BI520" s="37">
        <f t="shared" si="469"/>
        <v>-21.350320741999127</v>
      </c>
      <c r="BJ520" s="60">
        <f t="shared" si="470"/>
        <v>4.2712829016957796</v>
      </c>
      <c r="BK520">
        <f t="shared" si="471"/>
        <v>-61.317490661293512</v>
      </c>
      <c r="BL520" s="60">
        <f t="shared" si="472"/>
        <v>-132.71476336426858</v>
      </c>
      <c r="BN520">
        <f t="shared" si="473"/>
        <v>0</v>
      </c>
      <c r="BO520">
        <f t="shared" si="474"/>
        <v>0</v>
      </c>
    </row>
    <row r="521" spans="13:67" x14ac:dyDescent="0.25">
      <c r="M521" s="66">
        <v>3</v>
      </c>
      <c r="N521" s="36">
        <f t="shared" si="476"/>
        <v>1071519.3052376076</v>
      </c>
      <c r="O521" s="91" t="str">
        <f t="shared" si="423"/>
        <v>13,7404580152672</v>
      </c>
      <c r="P521" s="67" t="str">
        <f t="shared" si="424"/>
        <v>1+7271,15870343047i</v>
      </c>
      <c r="Q521" s="67">
        <f t="shared" si="435"/>
        <v>7271.158772195301</v>
      </c>
      <c r="R521" s="67">
        <f t="shared" si="436"/>
        <v>1.570658797133603</v>
      </c>
      <c r="S521" s="67" t="str">
        <f t="shared" si="425"/>
        <v>1+201,976630650847i</v>
      </c>
      <c r="T521" s="67">
        <f t="shared" si="437"/>
        <v>201.97910616959535</v>
      </c>
      <c r="U521" s="67">
        <f t="shared" si="438"/>
        <v>1.5658452994118099</v>
      </c>
      <c r="V521" t="str">
        <f t="shared" si="426"/>
        <v>1-42,0784647189263i</v>
      </c>
      <c r="W521" s="67">
        <f t="shared" si="439"/>
        <v>42.090345604448594</v>
      </c>
      <c r="X521" s="67">
        <f t="shared" si="440"/>
        <v>-1.5470356736900428</v>
      </c>
      <c r="Y521" t="str">
        <f t="shared" si="427"/>
        <v>-72,4818317758006+73,0130958298479i</v>
      </c>
      <c r="Z521" s="67">
        <f t="shared" si="441"/>
        <v>102.88113578413689</v>
      </c>
      <c r="AA521" s="67">
        <f t="shared" si="442"/>
        <v>2.3525430797843727</v>
      </c>
      <c r="AB521" s="92" t="str">
        <f t="shared" si="443"/>
        <v>-0,112883815226552+0,107893710287935i</v>
      </c>
      <c r="AC521" s="37">
        <f t="shared" si="444"/>
        <v>-16.128984618061676</v>
      </c>
      <c r="AD521" s="60">
        <f t="shared" si="445"/>
        <v>136.29480244287504</v>
      </c>
      <c r="AE521" t="str">
        <f t="shared" si="446"/>
        <v>21,0353732052265</v>
      </c>
      <c r="AF521" t="str">
        <f t="shared" si="428"/>
        <v>1+3635,57935171524i</v>
      </c>
      <c r="AG521">
        <f t="shared" si="447"/>
        <v>3635.5794892448994</v>
      </c>
      <c r="AH521">
        <f t="shared" si="448"/>
        <v>1.570521267477512</v>
      </c>
      <c r="AI521" t="str">
        <f t="shared" si="429"/>
        <v>1+201,976630650847i</v>
      </c>
      <c r="AJ521">
        <f t="shared" si="449"/>
        <v>201.97910616959535</v>
      </c>
      <c r="AK521">
        <f t="shared" si="450"/>
        <v>1.5658452994118099</v>
      </c>
      <c r="AL521" t="str">
        <f t="shared" si="430"/>
        <v>1-13,7427690294765i</v>
      </c>
      <c r="AM521">
        <f t="shared" si="451"/>
        <v>13.779103766121311</v>
      </c>
      <c r="AN521">
        <f t="shared" si="452"/>
        <v>-1.4981588079269947</v>
      </c>
      <c r="AO521" s="58" t="str">
        <f t="shared" si="453"/>
        <v>1,09353554610268-16,0657227110737i</v>
      </c>
      <c r="AP521">
        <f t="shared" si="454"/>
        <v>24.138079872369886</v>
      </c>
      <c r="AQ521" s="60">
        <f t="shared" si="455"/>
        <v>-86.106089969870013</v>
      </c>
      <c r="AR521" t="str">
        <f t="shared" si="431"/>
        <v>-1,05811623246493</v>
      </c>
      <c r="AS521" t="str">
        <f t="shared" si="432"/>
        <v>1+199,068167169474i</v>
      </c>
      <c r="AT521">
        <f t="shared" si="456"/>
        <v>199.07067885606273</v>
      </c>
      <c r="AU521">
        <f t="shared" si="457"/>
        <v>1.5657729641809039</v>
      </c>
      <c r="AV521" t="str">
        <f t="shared" si="433"/>
        <v>1+199,068167169474i</v>
      </c>
      <c r="AW521">
        <f t="shared" si="458"/>
        <v>199.07067885606273</v>
      </c>
      <c r="AX521">
        <f t="shared" si="459"/>
        <v>1.5657729641809039</v>
      </c>
      <c r="AY521" t="str">
        <f t="shared" si="434"/>
        <v>1-0,000127868487546153i</v>
      </c>
      <c r="AZ521">
        <f t="shared" si="460"/>
        <v>1.000000008175175</v>
      </c>
      <c r="BA521">
        <f t="shared" si="461"/>
        <v>-1.2786848684925484E-4</v>
      </c>
      <c r="BB521" s="58" t="str">
        <f t="shared" si="462"/>
        <v>-0,0000260208142327647+0,00531521551986715i</v>
      </c>
      <c r="BC521">
        <f t="shared" si="463"/>
        <v>-45.489478339822689</v>
      </c>
      <c r="BD521" s="60">
        <f t="shared" si="464"/>
        <v>90.280491152116397</v>
      </c>
      <c r="BE521" s="58" t="str">
        <f t="shared" si="465"/>
        <v>-0,000570540994632586-0,000602809288826271i</v>
      </c>
      <c r="BF521" s="37">
        <f t="shared" si="466"/>
        <v>-61.618462957884368</v>
      </c>
      <c r="BG521" s="60">
        <f t="shared" si="467"/>
        <v>-133.42470640500852</v>
      </c>
      <c r="BH521" s="58" t="str">
        <f t="shared" si="468"/>
        <v>0,085364324006479+0,00623042029235132i</v>
      </c>
      <c r="BI521" s="37">
        <f t="shared" si="469"/>
        <v>-21.351398467452807</v>
      </c>
      <c r="BJ521" s="60">
        <f t="shared" si="470"/>
        <v>4.1744011822463882</v>
      </c>
      <c r="BK521">
        <f t="shared" si="471"/>
        <v>-61.618462957884368</v>
      </c>
      <c r="BL521" s="60">
        <f t="shared" si="472"/>
        <v>-133.42470640500852</v>
      </c>
      <c r="BN521">
        <f t="shared" si="473"/>
        <v>0</v>
      </c>
      <c r="BO521">
        <f t="shared" si="474"/>
        <v>0</v>
      </c>
    </row>
    <row r="522" spans="13:67" x14ac:dyDescent="0.25">
      <c r="M522" s="66">
        <v>4</v>
      </c>
      <c r="N522" s="36">
        <f t="shared" si="476"/>
        <v>1096478.196143186</v>
      </c>
      <c r="O522" s="91" t="str">
        <f t="shared" si="423"/>
        <v>13,7404580152672</v>
      </c>
      <c r="P522" s="67" t="str">
        <f t="shared" si="424"/>
        <v>1+7440,52574698161i</v>
      </c>
      <c r="Q522" s="67">
        <f t="shared" si="435"/>
        <v>7440.5258141811628</v>
      </c>
      <c r="R522" s="67">
        <f t="shared" si="436"/>
        <v>1.5706619276908569</v>
      </c>
      <c r="S522" s="67" t="str">
        <f t="shared" si="425"/>
        <v>1+206,681270749489i</v>
      </c>
      <c r="T522" s="67">
        <f t="shared" si="437"/>
        <v>206.68368991921827</v>
      </c>
      <c r="U522" s="67">
        <f t="shared" si="438"/>
        <v>1.565957996774882</v>
      </c>
      <c r="V522" t="str">
        <f t="shared" si="426"/>
        <v>1-43,0585980728102i</v>
      </c>
      <c r="W522" s="67">
        <f t="shared" si="439"/>
        <v>43.070208590112657</v>
      </c>
      <c r="X522" s="67">
        <f t="shared" si="440"/>
        <v>-1.5475763355359087</v>
      </c>
      <c r="Y522" t="str">
        <f t="shared" si="427"/>
        <v>-75,9449238155147+74,7137893074065i</v>
      </c>
      <c r="Z522" s="67">
        <f t="shared" si="441"/>
        <v>106.53535453555247</v>
      </c>
      <c r="AA522" s="67">
        <f t="shared" si="442"/>
        <v>2.3643659864180986</v>
      </c>
      <c r="AB522" s="92" t="str">
        <f t="shared" si="443"/>
        <v>-0,110234729386793+0,107977340120955i</v>
      </c>
      <c r="AC522" s="37">
        <f t="shared" si="444"/>
        <v>-16.232259847018604</v>
      </c>
      <c r="AD522" s="60">
        <f t="shared" si="445"/>
        <v>135.59269986482158</v>
      </c>
      <c r="AE522" t="str">
        <f t="shared" si="446"/>
        <v>21,0353732052265</v>
      </c>
      <c r="AF522" t="str">
        <f t="shared" si="428"/>
        <v>1+3720,26287349081i</v>
      </c>
      <c r="AG522">
        <f t="shared" si="447"/>
        <v>3720.2630078899128</v>
      </c>
      <c r="AH522">
        <f t="shared" si="448"/>
        <v>1.5705275285916724</v>
      </c>
      <c r="AI522" t="str">
        <f t="shared" si="429"/>
        <v>1+206,681270749489i</v>
      </c>
      <c r="AJ522">
        <f t="shared" si="449"/>
        <v>206.68368991921827</v>
      </c>
      <c r="AK522">
        <f t="shared" si="450"/>
        <v>1.565957996774882</v>
      </c>
      <c r="AL522" t="str">
        <f t="shared" si="430"/>
        <v>1-14,0628792423963i</v>
      </c>
      <c r="AM522">
        <f t="shared" si="451"/>
        <v>14.098389006770267</v>
      </c>
      <c r="AN522">
        <f t="shared" si="452"/>
        <v>-1.4998066260179233</v>
      </c>
      <c r="AO522" s="58" t="str">
        <f t="shared" si="453"/>
        <v>1,09353547819765-16,4396888416035i</v>
      </c>
      <c r="AP522">
        <f t="shared" si="454"/>
        <v>24.337045473603464</v>
      </c>
      <c r="AQ522" s="60">
        <f t="shared" si="455"/>
        <v>-86.1944046440357</v>
      </c>
      <c r="AR522" t="str">
        <f t="shared" si="431"/>
        <v>-1,05811623246493</v>
      </c>
      <c r="AS522" t="str">
        <f t="shared" si="432"/>
        <v>1+203,705060450697i</v>
      </c>
      <c r="AT522">
        <f t="shared" si="456"/>
        <v>203.70751496501578</v>
      </c>
      <c r="AU522">
        <f t="shared" si="457"/>
        <v>1.5658873080157223</v>
      </c>
      <c r="AV522" t="str">
        <f t="shared" si="433"/>
        <v>1+203,705060450697i</v>
      </c>
      <c r="AW522">
        <f t="shared" si="458"/>
        <v>203.70751496501578</v>
      </c>
      <c r="AX522">
        <f t="shared" si="459"/>
        <v>1.5658873080157223</v>
      </c>
      <c r="AY522" t="str">
        <f t="shared" si="434"/>
        <v>1-0,000124957845417425i</v>
      </c>
      <c r="AZ522">
        <f t="shared" si="460"/>
        <v>1.0000000078072315</v>
      </c>
      <c r="BA522">
        <f t="shared" si="461"/>
        <v>-1.2495784476704178E-4</v>
      </c>
      <c r="BB522" s="58" t="str">
        <f t="shared" si="462"/>
        <v>-0,0000248497128967296+0,00519423219242079i</v>
      </c>
      <c r="BC522">
        <f t="shared" si="463"/>
        <v>-45.689473410667077</v>
      </c>
      <c r="BD522" s="60">
        <f t="shared" si="464"/>
        <v>90.274106500474943</v>
      </c>
      <c r="BE522" s="58" t="str">
        <f t="shared" si="465"/>
        <v>-0,000558120074731723-0,000575267986005033i</v>
      </c>
      <c r="BF522" s="37">
        <f t="shared" si="466"/>
        <v>-61.921733257685673</v>
      </c>
      <c r="BG522" s="60">
        <f t="shared" si="467"/>
        <v>-134.13319363470345</v>
      </c>
      <c r="BH522" s="58" t="str">
        <f t="shared" si="468"/>
        <v>0,0853643869717621+0,00608859873223391i</v>
      </c>
      <c r="BI522" s="37">
        <f t="shared" si="469"/>
        <v>-21.352427937063613</v>
      </c>
      <c r="BJ522" s="60">
        <f t="shared" si="470"/>
        <v>4.0797018564392546</v>
      </c>
      <c r="BK522">
        <f t="shared" si="471"/>
        <v>-61.921733257685673</v>
      </c>
      <c r="BL522" s="60">
        <f t="shared" si="472"/>
        <v>-134.13319363470345</v>
      </c>
      <c r="BN522">
        <f t="shared" si="473"/>
        <v>0</v>
      </c>
      <c r="BO522">
        <f t="shared" si="474"/>
        <v>0</v>
      </c>
    </row>
    <row r="523" spans="13:67" x14ac:dyDescent="0.25">
      <c r="M523" s="66">
        <v>5</v>
      </c>
      <c r="N523" s="36">
        <f t="shared" si="476"/>
        <v>1122018.4543019643</v>
      </c>
      <c r="O523" s="91" t="str">
        <f t="shared" si="423"/>
        <v>13,7404580152672</v>
      </c>
      <c r="P523" s="67" t="str">
        <f t="shared" si="424"/>
        <v>1+7613,83785577081i</v>
      </c>
      <c r="Q523" s="67">
        <f t="shared" si="435"/>
        <v>7613.8379214407132</v>
      </c>
      <c r="R523" s="67">
        <f t="shared" si="436"/>
        <v>1.5706649869879303</v>
      </c>
      <c r="S523" s="67" t="str">
        <f t="shared" si="425"/>
        <v>1+211,495495993634i</v>
      </c>
      <c r="T523" s="67">
        <f t="shared" si="437"/>
        <v>211.49786009695998</v>
      </c>
      <c r="U523" s="67">
        <f t="shared" si="438"/>
        <v>1.5660681289515375</v>
      </c>
      <c r="V523" t="str">
        <f t="shared" si="426"/>
        <v>1-44,0615616653403i</v>
      </c>
      <c r="W523" s="67">
        <f t="shared" si="439"/>
        <v>44.072907963834041</v>
      </c>
      <c r="X523" s="67">
        <f t="shared" si="440"/>
        <v>-1.5481047035357587</v>
      </c>
      <c r="Y523" t="str">
        <f t="shared" si="427"/>
        <v>-79,5712263548268+76,4540970250098i</v>
      </c>
      <c r="Z523" s="67">
        <f t="shared" si="441"/>
        <v>110.3485795808931</v>
      </c>
      <c r="AA523" s="67">
        <f t="shared" si="442"/>
        <v>2.3761701880050832</v>
      </c>
      <c r="AB523" s="92" t="str">
        <f t="shared" si="443"/>
        <v>-0,107590791847872+0,107996297107684i</v>
      </c>
      <c r="AC523" s="37">
        <f t="shared" si="444"/>
        <v>-16.337829624967398</v>
      </c>
      <c r="AD523" s="60">
        <f t="shared" si="445"/>
        <v>134.89223050104471</v>
      </c>
      <c r="AE523" t="str">
        <f t="shared" si="446"/>
        <v>21,0353732052265</v>
      </c>
      <c r="AF523" t="str">
        <f t="shared" si="428"/>
        <v>1+3806,91892788541i</v>
      </c>
      <c r="AG523">
        <f t="shared" si="447"/>
        <v>3806.9190592252153</v>
      </c>
      <c r="AH523">
        <f t="shared" si="448"/>
        <v>1.5705336471854952</v>
      </c>
      <c r="AI523" t="str">
        <f t="shared" si="429"/>
        <v>1+211,495495993634i</v>
      </c>
      <c r="AJ523">
        <f t="shared" si="449"/>
        <v>211.49786009695998</v>
      </c>
      <c r="AK523">
        <f t="shared" si="450"/>
        <v>1.5660681289515375</v>
      </c>
      <c r="AL523" t="str">
        <f t="shared" si="430"/>
        <v>1-14,3904457800346i</v>
      </c>
      <c r="AM523">
        <f t="shared" si="451"/>
        <v>14.42514921060145</v>
      </c>
      <c r="AN523">
        <f t="shared" si="452"/>
        <v>-1.5014173084224456</v>
      </c>
      <c r="AO523" s="58" t="str">
        <f t="shared" si="453"/>
        <v>1,09353541334885-16,8223715127604i</v>
      </c>
      <c r="AP523">
        <f t="shared" si="454"/>
        <v>24.536057402523429</v>
      </c>
      <c r="AQ523" s="60">
        <f t="shared" si="455"/>
        <v>-86.280730408642441</v>
      </c>
      <c r="AR523" t="str">
        <f t="shared" si="431"/>
        <v>-1,05811623246493</v>
      </c>
      <c r="AS523" t="str">
        <f t="shared" si="432"/>
        <v>1+208,449960851325i</v>
      </c>
      <c r="AT523">
        <f t="shared" si="456"/>
        <v>208.45235949472703</v>
      </c>
      <c r="AU523">
        <f t="shared" si="457"/>
        <v>1.5659990491911331</v>
      </c>
      <c r="AV523" t="str">
        <f t="shared" si="433"/>
        <v>1+208,449960851325i</v>
      </c>
      <c r="AW523">
        <f t="shared" si="458"/>
        <v>208.45235949472703</v>
      </c>
      <c r="AX523">
        <f t="shared" si="459"/>
        <v>1.5659990491911331</v>
      </c>
      <c r="AY523" t="str">
        <f t="shared" si="434"/>
        <v>1-0,000122113457592351i</v>
      </c>
      <c r="AZ523">
        <f t="shared" si="460"/>
        <v>1.0000000074558482</v>
      </c>
      <c r="BA523">
        <f t="shared" si="461"/>
        <v>-1.2211345698537806E-4</v>
      </c>
      <c r="BB523" s="58" t="str">
        <f t="shared" si="462"/>
        <v>-0,0000237313173201462+0,00507600239801573i</v>
      </c>
      <c r="BC523">
        <f t="shared" si="463"/>
        <v>-45.88946870335473</v>
      </c>
      <c r="BD523" s="60">
        <f t="shared" si="464"/>
        <v>90.267867174141259</v>
      </c>
      <c r="BE523" s="58" t="str">
        <f t="shared" si="465"/>
        <v>-0,000545636191873356-0,000548694011820273i</v>
      </c>
      <c r="BF523" s="37">
        <f t="shared" si="466"/>
        <v>-62.227298328322121</v>
      </c>
      <c r="BG523" s="60">
        <f t="shared" si="467"/>
        <v>-134.83990232481406</v>
      </c>
      <c r="BH523" s="58" t="str">
        <f t="shared" si="468"/>
        <v>0,0853644471031883+0,00595000541692059i</v>
      </c>
      <c r="BI523" s="37">
        <f t="shared" si="469"/>
        <v>-21.353411300831301</v>
      </c>
      <c r="BJ523" s="60">
        <f t="shared" si="470"/>
        <v>3.9871367654988243</v>
      </c>
      <c r="BK523">
        <f t="shared" si="471"/>
        <v>-62.227298328322121</v>
      </c>
      <c r="BL523" s="60">
        <f t="shared" si="472"/>
        <v>-134.83990232481406</v>
      </c>
      <c r="BN523">
        <f t="shared" si="473"/>
        <v>0</v>
      </c>
      <c r="BO523">
        <f t="shared" si="474"/>
        <v>0</v>
      </c>
    </row>
    <row r="524" spans="13:67" x14ac:dyDescent="0.25">
      <c r="M524" s="66">
        <v>6</v>
      </c>
      <c r="N524" s="36">
        <f t="shared" si="476"/>
        <v>1148153.6214968837</v>
      </c>
      <c r="O524" s="91" t="str">
        <f t="shared" si="423"/>
        <v>13,7404580152672</v>
      </c>
      <c r="P524" s="67" t="str">
        <f t="shared" si="424"/>
        <v>1+7791,18692217219i</v>
      </c>
      <c r="Q524" s="67">
        <f t="shared" si="435"/>
        <v>7791.1869863472639</v>
      </c>
      <c r="R524" s="67">
        <f t="shared" si="436"/>
        <v>1.5706679766469027</v>
      </c>
      <c r="S524" s="67" t="str">
        <f t="shared" si="425"/>
        <v>1+216,421858949228i</v>
      </c>
      <c r="T524" s="67">
        <f t="shared" si="437"/>
        <v>216.42416923957347</v>
      </c>
      <c r="U524" s="67">
        <f t="shared" si="438"/>
        <v>1.5661757543246215</v>
      </c>
      <c r="V524" t="str">
        <f t="shared" si="426"/>
        <v>1-45,0878872810891i</v>
      </c>
      <c r="W524" s="67">
        <f t="shared" si="439"/>
        <v>45.098975370535811</v>
      </c>
      <c r="X524" s="67">
        <f t="shared" si="440"/>
        <v>-1.5486210566565766</v>
      </c>
      <c r="Y524" t="str">
        <f t="shared" si="427"/>
        <v>-83,3684312676102+78,2349417168454i</v>
      </c>
      <c r="Z524" s="67">
        <f t="shared" si="441"/>
        <v>114.32848043012048</v>
      </c>
      <c r="AA524" s="67">
        <f t="shared" si="442"/>
        <v>2.3879497921046431</v>
      </c>
      <c r="AB524" s="92" t="str">
        <f t="shared" si="443"/>
        <v>-0,104954789961284+0,107951052864367i</v>
      </c>
      <c r="AC524" s="37">
        <f t="shared" si="444"/>
        <v>-16.445688301149126</v>
      </c>
      <c r="AD524" s="60">
        <f t="shared" si="445"/>
        <v>134.19371923204881</v>
      </c>
      <c r="AE524" t="str">
        <f t="shared" si="446"/>
        <v>21,0353732052265</v>
      </c>
      <c r="AF524" t="str">
        <f t="shared" si="428"/>
        <v>1+3895,5934610861i</v>
      </c>
      <c r="AG524">
        <f t="shared" si="447"/>
        <v>3895.5935894362469</v>
      </c>
      <c r="AH524">
        <f t="shared" si="448"/>
        <v>1.5705396265031377</v>
      </c>
      <c r="AI524" t="str">
        <f t="shared" si="429"/>
        <v>1+216,421858949228i</v>
      </c>
      <c r="AJ524">
        <f t="shared" si="449"/>
        <v>216.42416923957347</v>
      </c>
      <c r="AK524">
        <f t="shared" si="450"/>
        <v>1.5661757543246215</v>
      </c>
      <c r="AL524" t="str">
        <f t="shared" si="430"/>
        <v>1-14,7256423225056i</v>
      </c>
      <c r="AM524">
        <f t="shared" si="451"/>
        <v>14.759557642773991</v>
      </c>
      <c r="AN524">
        <f t="shared" si="452"/>
        <v>-1.5029916756982031</v>
      </c>
      <c r="AO524" s="58" t="str">
        <f t="shared" si="453"/>
        <v>1,09353535141873-17,2139736279624i</v>
      </c>
      <c r="AP524">
        <f t="shared" si="454"/>
        <v>24.735113594001412</v>
      </c>
      <c r="AQ524" s="60">
        <f t="shared" si="455"/>
        <v>-86.365111118965885</v>
      </c>
      <c r="AR524" t="str">
        <f t="shared" si="431"/>
        <v>-1,05811623246493</v>
      </c>
      <c r="AS524" t="str">
        <f t="shared" si="432"/>
        <v>1+213,305384180359i</v>
      </c>
      <c r="AT524">
        <f t="shared" si="456"/>
        <v>213.30772822457828</v>
      </c>
      <c r="AU524">
        <f t="shared" si="457"/>
        <v>1.5661082469426186</v>
      </c>
      <c r="AV524" t="str">
        <f t="shared" si="433"/>
        <v>1+213,305384180359i</v>
      </c>
      <c r="AW524">
        <f t="shared" si="458"/>
        <v>213.30772822457828</v>
      </c>
      <c r="AX524">
        <f t="shared" si="459"/>
        <v>1.5661082469426186</v>
      </c>
      <c r="AY524" t="str">
        <f t="shared" si="434"/>
        <v>1-0,000119333815938854i</v>
      </c>
      <c r="AZ524">
        <f t="shared" si="460"/>
        <v>1.0000000071202797</v>
      </c>
      <c r="BA524">
        <f t="shared" si="461"/>
        <v>-1.193338153723939E-4</v>
      </c>
      <c r="BB524" s="58" t="str">
        <f t="shared" si="462"/>
        <v>-0,0000226632555715656+0,00496046348419735i</v>
      </c>
      <c r="BC524">
        <f t="shared" si="463"/>
        <v>-46.089464207901628</v>
      </c>
      <c r="BD524" s="60">
        <f t="shared" si="464"/>
        <v>90.261769865581812</v>
      </c>
      <c r="BE524" s="58" t="str">
        <f t="shared" si="465"/>
        <v>-0,000533108638585998-0,000523070925394837i</v>
      </c>
      <c r="BF524" s="37">
        <f t="shared" si="466"/>
        <v>-62.535152509050754</v>
      </c>
      <c r="BG524" s="60">
        <f t="shared" si="467"/>
        <v>-135.54451090236935</v>
      </c>
      <c r="BH524" s="58" t="str">
        <f t="shared" si="468"/>
        <v>0,0853645045282979+0,00581456686312423i</v>
      </c>
      <c r="BI524" s="37">
        <f t="shared" si="469"/>
        <v>-21.354350613900227</v>
      </c>
      <c r="BJ524" s="60">
        <f t="shared" si="470"/>
        <v>3.8966587466159224</v>
      </c>
      <c r="BK524">
        <f t="shared" si="471"/>
        <v>-62.535152509050754</v>
      </c>
      <c r="BL524" s="60">
        <f t="shared" si="472"/>
        <v>-135.54451090236935</v>
      </c>
      <c r="BN524">
        <f t="shared" si="473"/>
        <v>0</v>
      </c>
      <c r="BO524">
        <f t="shared" si="474"/>
        <v>0</v>
      </c>
    </row>
    <row r="525" spans="13:67" x14ac:dyDescent="0.25">
      <c r="M525" s="66">
        <v>7</v>
      </c>
      <c r="N525" s="36">
        <f t="shared" si="476"/>
        <v>1174897.5549395324</v>
      </c>
      <c r="O525" s="91" t="str">
        <f t="shared" si="423"/>
        <v>13,7404580152672</v>
      </c>
      <c r="P525" s="67" t="str">
        <f t="shared" si="424"/>
        <v>1+7972,66697900827i</v>
      </c>
      <c r="Q525" s="67">
        <f t="shared" si="435"/>
        <v>7972.6670417225396</v>
      </c>
      <c r="R525" s="67">
        <f t="shared" si="436"/>
        <v>1.5706708982529307</v>
      </c>
      <c r="S525" s="67" t="str">
        <f t="shared" si="425"/>
        <v>1+221,462971639119i</v>
      </c>
      <c r="T525" s="67">
        <f t="shared" si="437"/>
        <v>221.46522934137815</v>
      </c>
      <c r="U525" s="67">
        <f t="shared" si="438"/>
        <v>1.5662809299485527</v>
      </c>
      <c r="V525" t="str">
        <f t="shared" si="426"/>
        <v>1-46,1381190914831i</v>
      </c>
      <c r="W525" s="67">
        <f t="shared" si="439"/>
        <v>46.148954845151991</v>
      </c>
      <c r="X525" s="67">
        <f t="shared" si="440"/>
        <v>-1.5491256675736278</v>
      </c>
      <c r="Y525" t="str">
        <f t="shared" si="427"/>
        <v>-87,3445929345852+80,0572676103413i</v>
      </c>
      <c r="Z525" s="67">
        <f t="shared" si="441"/>
        <v>118.48309589195496</v>
      </c>
      <c r="AA525" s="67">
        <f t="shared" si="442"/>
        <v>2.3996989488500517</v>
      </c>
      <c r="AB525" s="92" t="str">
        <f t="shared" si="443"/>
        <v>-0,102329476736235+0,107842234620614i</v>
      </c>
      <c r="AC525" s="37">
        <f t="shared" si="444"/>
        <v>-16.555827820782699</v>
      </c>
      <c r="AD525" s="60">
        <f t="shared" si="445"/>
        <v>133.49748878552003</v>
      </c>
      <c r="AE525" t="str">
        <f t="shared" si="446"/>
        <v>21,0353732052265</v>
      </c>
      <c r="AF525" t="str">
        <f t="shared" si="428"/>
        <v>1+3986,33348950414i</v>
      </c>
      <c r="AG525">
        <f t="shared" si="447"/>
        <v>3986.3336149326801</v>
      </c>
      <c r="AH525">
        <f t="shared" si="448"/>
        <v>1.5705454697149115</v>
      </c>
      <c r="AI525" t="str">
        <f t="shared" si="429"/>
        <v>1+221,462971639119i</v>
      </c>
      <c r="AJ525">
        <f t="shared" si="449"/>
        <v>221.46522934137815</v>
      </c>
      <c r="AK525">
        <f t="shared" si="450"/>
        <v>1.5662809299485527</v>
      </c>
      <c r="AL525" t="str">
        <f t="shared" si="430"/>
        <v>1-15,0686465954529i</v>
      </c>
      <c r="AM525">
        <f t="shared" si="451"/>
        <v>15.101791622806028</v>
      </c>
      <c r="AN525">
        <f t="shared" si="452"/>
        <v>-1.5045305313597959</v>
      </c>
      <c r="AO525" s="58" t="str">
        <f t="shared" si="453"/>
        <v>1,09353529227591-17,6147028198343i</v>
      </c>
      <c r="AP525">
        <f t="shared" si="454"/>
        <v>24.934212074110658</v>
      </c>
      <c r="AQ525" s="60">
        <f t="shared" si="455"/>
        <v>-86.44758972566953</v>
      </c>
      <c r="AR525" t="str">
        <f t="shared" si="431"/>
        <v>-1,05811623246493</v>
      </c>
      <c r="AS525" t="str">
        <f t="shared" si="432"/>
        <v>1+218,273904847515i</v>
      </c>
      <c r="AT525">
        <f t="shared" si="456"/>
        <v>218.27619553534012</v>
      </c>
      <c r="AU525">
        <f t="shared" si="457"/>
        <v>1.5662149591578491</v>
      </c>
      <c r="AV525" t="str">
        <f t="shared" si="433"/>
        <v>1+218,273904847515i</v>
      </c>
      <c r="AW525">
        <f t="shared" si="458"/>
        <v>218.27619553534012</v>
      </c>
      <c r="AX525">
        <f t="shared" si="459"/>
        <v>1.5662149591578491</v>
      </c>
      <c r="AY525" t="str">
        <f t="shared" si="434"/>
        <v>1-0,000116617446654138i</v>
      </c>
      <c r="AZ525">
        <f t="shared" si="460"/>
        <v>1.0000000067998143</v>
      </c>
      <c r="BA525">
        <f t="shared" si="461"/>
        <v>-1.1661744612548668E-4</v>
      </c>
      <c r="BB525" s="58" t="str">
        <f t="shared" si="462"/>
        <v>-0,0000216432624548174+0,00484755422294596i</v>
      </c>
      <c r="BC525">
        <f t="shared" si="463"/>
        <v>-46.289459914772841</v>
      </c>
      <c r="BD525" s="60">
        <f t="shared" si="464"/>
        <v>90.255811342520062</v>
      </c>
      <c r="BE525" s="58" t="str">
        <f t="shared" si="465"/>
        <v>-0,00052055633612522-0,000498381744872194i</v>
      </c>
      <c r="BF525" s="37">
        <f t="shared" si="466"/>
        <v>-62.845287735555544</v>
      </c>
      <c r="BG525" s="60">
        <f t="shared" si="467"/>
        <v>-136.24669987195989</v>
      </c>
      <c r="BH525" s="58" t="str">
        <f t="shared" si="468"/>
        <v>0,0853645593688915+0,00568221126020582i</v>
      </c>
      <c r="BI525" s="37">
        <f t="shared" si="469"/>
        <v>-21.355247840662194</v>
      </c>
      <c r="BJ525" s="60">
        <f t="shared" si="470"/>
        <v>3.808221616850537</v>
      </c>
      <c r="BK525">
        <f t="shared" si="471"/>
        <v>-62.845287735555544</v>
      </c>
      <c r="BL525" s="60">
        <f t="shared" si="472"/>
        <v>-136.24669987195989</v>
      </c>
      <c r="BN525">
        <f t="shared" si="473"/>
        <v>0</v>
      </c>
      <c r="BO525">
        <f t="shared" si="474"/>
        <v>0</v>
      </c>
    </row>
    <row r="526" spans="13:67" x14ac:dyDescent="0.25">
      <c r="M526" s="66">
        <v>8</v>
      </c>
      <c r="N526" s="36">
        <f t="shared" si="476"/>
        <v>1202264.4346174158</v>
      </c>
      <c r="O526" s="91" t="str">
        <f t="shared" si="423"/>
        <v>13,7404580152672</v>
      </c>
      <c r="P526" s="67" t="str">
        <f t="shared" si="424"/>
        <v>1+8158,37424940734i</v>
      </c>
      <c r="Q526" s="67">
        <f t="shared" si="435"/>
        <v>8158.3743106940592</v>
      </c>
      <c r="R526" s="67">
        <f t="shared" si="436"/>
        <v>1.5706737533550885</v>
      </c>
      <c r="S526" s="67" t="str">
        <f t="shared" si="425"/>
        <v>1+226,621506927982i</v>
      </c>
      <c r="T526" s="67">
        <f t="shared" si="437"/>
        <v>226.62371323916969</v>
      </c>
      <c r="U526" s="67">
        <f t="shared" si="438"/>
        <v>1.5663837115795263</v>
      </c>
      <c r="V526" t="str">
        <f t="shared" si="426"/>
        <v>1-47,2128139433295i</v>
      </c>
      <c r="W526" s="67">
        <f t="shared" si="439"/>
        <v>47.223403101083768</v>
      </c>
      <c r="X526" s="67">
        <f t="shared" si="440"/>
        <v>-1.5496188028097888</v>
      </c>
      <c r="Y526" t="str">
        <f t="shared" si="427"/>
        <v>-91,50814532774+81,9220409268072i</v>
      </c>
      <c r="Z526" s="67">
        <f t="shared" si="441"/>
        <v>122.82085104303853</v>
      </c>
      <c r="AA526" s="67">
        <f t="shared" si="442"/>
        <v>2.4114118665991264</v>
      </c>
      <c r="AB526" s="92" t="str">
        <f t="shared" si="443"/>
        <v>-0,0997175595405421+0,107670621799353i</v>
      </c>
      <c r="AC526" s="37">
        <f t="shared" si="444"/>
        <v>-16.66823775981586</v>
      </c>
      <c r="AD526" s="60">
        <f t="shared" si="445"/>
        <v>132.80385883331547</v>
      </c>
      <c r="AE526" t="str">
        <f t="shared" si="446"/>
        <v>21,0353732052265</v>
      </c>
      <c r="AF526" t="str">
        <f t="shared" si="428"/>
        <v>1+4079,18712470367i</v>
      </c>
      <c r="AG526">
        <f t="shared" si="447"/>
        <v>4079.1872472771088</v>
      </c>
      <c r="AH526">
        <f t="shared" si="448"/>
        <v>1.5705511799189635</v>
      </c>
      <c r="AI526" t="str">
        <f t="shared" si="429"/>
        <v>1+226,621506927982i</v>
      </c>
      <c r="AJ526">
        <f t="shared" si="449"/>
        <v>226.62371323916969</v>
      </c>
      <c r="AK526">
        <f t="shared" si="450"/>
        <v>1.5663837115795263</v>
      </c>
      <c r="AL526" t="str">
        <f t="shared" si="430"/>
        <v>1-15,4196404642822i</v>
      </c>
      <c r="AM526">
        <f t="shared" si="451"/>
        <v>15.452032618646937</v>
      </c>
      <c r="AN526">
        <f t="shared" si="452"/>
        <v>-1.5060346621594354</v>
      </c>
      <c r="AO526" s="58" t="str">
        <f t="shared" si="453"/>
        <v>1,09353523579497-18,0247715602981i</v>
      </c>
      <c r="AP526">
        <f t="shared" si="454"/>
        <v>25.133350956173611</v>
      </c>
      <c r="AQ526" s="60">
        <f t="shared" si="455"/>
        <v>-86.528208289250585</v>
      </c>
      <c r="AR526" t="str">
        <f t="shared" si="431"/>
        <v>-1,05811623246493</v>
      </c>
      <c r="AS526" t="str">
        <f t="shared" si="432"/>
        <v>1+223,358157228219i</v>
      </c>
      <c r="AT526">
        <f t="shared" si="456"/>
        <v>223.36039577415195</v>
      </c>
      <c r="AU526">
        <f t="shared" si="457"/>
        <v>1.5663192424073267</v>
      </c>
      <c r="AV526" t="str">
        <f t="shared" si="433"/>
        <v>1+223,358157228219i</v>
      </c>
      <c r="AW526">
        <f t="shared" si="458"/>
        <v>223.36039577415195</v>
      </c>
      <c r="AX526">
        <f t="shared" si="459"/>
        <v>1.5663192424073267</v>
      </c>
      <c r="AY526" t="str">
        <f t="shared" si="434"/>
        <v>1-0,000113962909483252i</v>
      </c>
      <c r="AZ526">
        <f t="shared" si="460"/>
        <v>1.0000000064937724</v>
      </c>
      <c r="BA526">
        <f t="shared" si="461"/>
        <v>-1.1396290898988588E-4</v>
      </c>
      <c r="BB526" s="58" t="str">
        <f t="shared" si="462"/>
        <v>-0,0000206691747068195+0,00473721477836648i</v>
      </c>
      <c r="BC526">
        <f t="shared" si="463"/>
        <v>-46.489455814862779</v>
      </c>
      <c r="BD526" s="60">
        <f t="shared" si="464"/>
        <v>90.249988446225515</v>
      </c>
      <c r="BE526" s="58" t="str">
        <f t="shared" si="465"/>
        <v>-0,000507997781124322-0,000474608959610858i</v>
      </c>
      <c r="BF526" s="37">
        <f t="shared" si="466"/>
        <v>-63.157693574678639</v>
      </c>
      <c r="BG526" s="60">
        <f t="shared" si="467"/>
        <v>-136.94615272045903</v>
      </c>
      <c r="BH526" s="58" t="str">
        <f t="shared" si="468"/>
        <v>0,0853646117412873+0,00555286843210272i</v>
      </c>
      <c r="BI526" s="37">
        <f t="shared" si="469"/>
        <v>-21.356104858689164</v>
      </c>
      <c r="BJ526" s="60">
        <f t="shared" si="470"/>
        <v>3.7217801569749458</v>
      </c>
      <c r="BK526">
        <f t="shared" si="471"/>
        <v>-63.157693574678639</v>
      </c>
      <c r="BL526" s="60">
        <f t="shared" si="472"/>
        <v>-136.94615272045903</v>
      </c>
      <c r="BN526">
        <f t="shared" si="473"/>
        <v>0</v>
      </c>
      <c r="BO526">
        <f t="shared" si="474"/>
        <v>0</v>
      </c>
    </row>
    <row r="527" spans="13:67" x14ac:dyDescent="0.25">
      <c r="M527" s="66">
        <v>9</v>
      </c>
      <c r="N527" s="36">
        <f t="shared" si="476"/>
        <v>1230268.770812382</v>
      </c>
      <c r="O527" s="91" t="str">
        <f t="shared" si="423"/>
        <v>13,7404580152672</v>
      </c>
      <c r="P527" s="67" t="str">
        <f t="shared" si="424"/>
        <v>1+8348,40719782227i</v>
      </c>
      <c r="Q527" s="67">
        <f t="shared" si="435"/>
        <v>8348.4072577139323</v>
      </c>
      <c r="R527" s="67">
        <f t="shared" si="436"/>
        <v>1.5706765434671885</v>
      </c>
      <c r="S527" s="67" t="str">
        <f t="shared" si="425"/>
        <v>1+231,900199939508i</v>
      </c>
      <c r="T527" s="67">
        <f t="shared" si="437"/>
        <v>231.90235602939396</v>
      </c>
      <c r="U527" s="67">
        <f t="shared" si="438"/>
        <v>1.5664841537050318</v>
      </c>
      <c r="V527" t="str">
        <f t="shared" si="426"/>
        <v>1-48,3125416540641i</v>
      </c>
      <c r="W527" s="67">
        <f t="shared" si="439"/>
        <v>48.322889825378596</v>
      </c>
      <c r="X527" s="67">
        <f t="shared" si="440"/>
        <v>-1.5501007228719652</v>
      </c>
      <c r="Y527" t="str">
        <f t="shared" si="427"/>
        <v>-95,8679198999176+83,8302503937388i</v>
      </c>
      <c r="Z527" s="67">
        <f t="shared" si="441"/>
        <v>127.35057497716279</v>
      </c>
      <c r="AA527" s="67">
        <f t="shared" si="442"/>
        <v>2.4230828271892144</v>
      </c>
      <c r="AB527" s="92" t="str">
        <f t="shared" si="443"/>
        <v>-0,0971216892020007+0,107437141643301i</v>
      </c>
      <c r="AC527" s="37">
        <f t="shared" si="444"/>
        <v>-16.782905369304867</v>
      </c>
      <c r="AD527" s="60">
        <f t="shared" si="445"/>
        <v>132.11314511124357</v>
      </c>
      <c r="AE527" t="str">
        <f t="shared" si="446"/>
        <v>21,0353732052265</v>
      </c>
      <c r="AF527" t="str">
        <f t="shared" si="428"/>
        <v>1+4174,20359891114i</v>
      </c>
      <c r="AG527">
        <f t="shared" si="447"/>
        <v>4174.2037186944663</v>
      </c>
      <c r="AH527">
        <f t="shared" si="448"/>
        <v>1.5705567601429178</v>
      </c>
      <c r="AI527" t="str">
        <f t="shared" si="429"/>
        <v>1+231,900199939508i</v>
      </c>
      <c r="AJ527">
        <f t="shared" si="449"/>
        <v>231.90235602939396</v>
      </c>
      <c r="AK527">
        <f t="shared" si="450"/>
        <v>1.5664841537050318</v>
      </c>
      <c r="AL527" t="str">
        <f t="shared" si="430"/>
        <v>1-15,7788100305886i</v>
      </c>
      <c r="AM527">
        <f t="shared" si="451"/>
        <v>15.810466342945215</v>
      </c>
      <c r="AN527">
        <f t="shared" si="452"/>
        <v>-1.5075048383681706</v>
      </c>
      <c r="AO527" s="58" t="str">
        <f t="shared" si="453"/>
        <v>1,09353518185609-18,4443972732278i</v>
      </c>
      <c r="AP527">
        <f t="shared" si="454"/>
        <v>25.332528436973494</v>
      </c>
      <c r="AQ527" s="60">
        <f t="shared" si="455"/>
        <v>-86.60700799455617</v>
      </c>
      <c r="AR527" t="str">
        <f t="shared" si="431"/>
        <v>-1,05811623246493</v>
      </c>
      <c r="AS527" t="str">
        <f t="shared" si="432"/>
        <v>1+228,560837060379i</v>
      </c>
      <c r="AT527">
        <f t="shared" si="456"/>
        <v>228.56302465127888</v>
      </c>
      <c r="AU527">
        <f t="shared" si="457"/>
        <v>1.5664211519743325</v>
      </c>
      <c r="AV527" t="str">
        <f t="shared" si="433"/>
        <v>1+228,560837060379i</v>
      </c>
      <c r="AW527">
        <f t="shared" si="458"/>
        <v>228.56302465127888</v>
      </c>
      <c r="AX527">
        <f t="shared" si="459"/>
        <v>1.5664211519743325</v>
      </c>
      <c r="AY527" t="str">
        <f t="shared" si="434"/>
        <v>1-0,000111368796955452i</v>
      </c>
      <c r="AZ527">
        <f t="shared" si="460"/>
        <v>1.0000000062015044</v>
      </c>
      <c r="BA527">
        <f t="shared" si="461"/>
        <v>-1.1136879649501595E-4</v>
      </c>
      <c r="BB527" s="58" t="str">
        <f t="shared" si="462"/>
        <v>-0,0000197389264113785+0,00462938667510655i</v>
      </c>
      <c r="BC527">
        <f t="shared" si="463"/>
        <v>-46.689451899475401</v>
      </c>
      <c r="BD527" s="60">
        <f t="shared" si="464"/>
        <v>90.244298089841607</v>
      </c>
      <c r="BE527" s="58" t="str">
        <f t="shared" si="465"/>
        <v>-0,000495450994058926-0,000451734547688328i</v>
      </c>
      <c r="BF527" s="37">
        <f t="shared" si="466"/>
        <v>-63.472357268780257</v>
      </c>
      <c r="BG527" s="60">
        <f t="shared" si="467"/>
        <v>-137.64255679891482</v>
      </c>
      <c r="BH527" s="58" t="str">
        <f t="shared" si="468"/>
        <v>0,0853646617565694+0,00542646980012327i</v>
      </c>
      <c r="BI527" s="37">
        <f t="shared" si="469"/>
        <v>-21.356923462501914</v>
      </c>
      <c r="BJ527" s="60">
        <f t="shared" si="470"/>
        <v>3.6372900952854508</v>
      </c>
      <c r="BK527">
        <f t="shared" si="471"/>
        <v>-63.472357268780257</v>
      </c>
      <c r="BL527" s="60">
        <f t="shared" si="472"/>
        <v>-137.64255679891482</v>
      </c>
      <c r="BN527">
        <f t="shared" si="473"/>
        <v>0</v>
      </c>
      <c r="BO527">
        <f t="shared" si="474"/>
        <v>0</v>
      </c>
    </row>
    <row r="528" spans="13:67" x14ac:dyDescent="0.25">
      <c r="M528" s="66">
        <v>10</v>
      </c>
      <c r="N528" s="36">
        <f t="shared" si="476"/>
        <v>1258925.4117941677</v>
      </c>
      <c r="O528" s="91" t="str">
        <f t="shared" si="423"/>
        <v>13,7404580152672</v>
      </c>
      <c r="P528" s="67" t="str">
        <f t="shared" si="424"/>
        <v>1+8542,86658223773i</v>
      </c>
      <c r="Q528" s="67">
        <f t="shared" si="435"/>
        <v>8542.866640766093</v>
      </c>
      <c r="R528" s="67">
        <f t="shared" si="436"/>
        <v>1.5706792700685852</v>
      </c>
      <c r="S528" s="67" t="str">
        <f t="shared" si="425"/>
        <v>1+237,301849506604i</v>
      </c>
      <c r="T528" s="67">
        <f t="shared" si="437"/>
        <v>237.30395651833311</v>
      </c>
      <c r="U528" s="67">
        <f t="shared" si="438"/>
        <v>1.5665823095727027</v>
      </c>
      <c r="V528" t="str">
        <f t="shared" si="426"/>
        <v>1-49,4378853138758i</v>
      </c>
      <c r="W528" s="67">
        <f t="shared" si="439"/>
        <v>49.447997980787221</v>
      </c>
      <c r="X528" s="67">
        <f t="shared" si="440"/>
        <v>-1.5505716823846438</v>
      </c>
      <c r="Y528" t="str">
        <f t="shared" si="427"/>
        <v>-100,433164317511+85,7829077690538i</v>
      </c>
      <c r="Z528" s="67">
        <f t="shared" si="441"/>
        <v>132.08151937399174</v>
      </c>
      <c r="AA528" s="67">
        <f t="shared" si="442"/>
        <v>2.4347062007040248</v>
      </c>
      <c r="AB528" s="92" t="str">
        <f t="shared" si="443"/>
        <v>-0,0945444496020652+0,107142863939715i</v>
      </c>
      <c r="AC528" s="37">
        <f t="shared" si="444"/>
        <v>-16.899815629036375</v>
      </c>
      <c r="AD528" s="60">
        <f t="shared" si="445"/>
        <v>131.42565856694233</v>
      </c>
      <c r="AE528" t="str">
        <f t="shared" si="446"/>
        <v>21,0353732052265</v>
      </c>
      <c r="AF528" t="str">
        <f t="shared" si="428"/>
        <v>1+4271,43329111887i</v>
      </c>
      <c r="AG528">
        <f t="shared" si="447"/>
        <v>4271.4334081755951</v>
      </c>
      <c r="AH528">
        <f t="shared" si="448"/>
        <v>1.5705622133454815</v>
      </c>
      <c r="AI528" t="str">
        <f t="shared" si="429"/>
        <v>1+237,301849506604i</v>
      </c>
      <c r="AJ528">
        <f t="shared" si="449"/>
        <v>237.30395651833311</v>
      </c>
      <c r="AK528">
        <f t="shared" si="450"/>
        <v>1.5665823095727027</v>
      </c>
      <c r="AL528" t="str">
        <f t="shared" si="430"/>
        <v>1-16,1463457308306i</v>
      </c>
      <c r="AM528">
        <f t="shared" si="451"/>
        <v>16.177282851564151</v>
      </c>
      <c r="AN528">
        <f t="shared" si="452"/>
        <v>-1.5089418140572357</v>
      </c>
      <c r="AO528" s="58" t="str">
        <f t="shared" si="453"/>
        <v>1,09353513034485-18,8738024497312i</v>
      </c>
      <c r="AP528">
        <f t="shared" si="454"/>
        <v>25.531742793125037</v>
      </c>
      <c r="AQ528" s="60">
        <f t="shared" si="455"/>
        <v>-86.684029165342253</v>
      </c>
      <c r="AR528" t="str">
        <f t="shared" si="431"/>
        <v>-1,05811623246493</v>
      </c>
      <c r="AS528" t="str">
        <f t="shared" si="432"/>
        <v>1+233,884702873709i</v>
      </c>
      <c r="AT528">
        <f t="shared" si="456"/>
        <v>233.88684066942105</v>
      </c>
      <c r="AU528">
        <f t="shared" si="457"/>
        <v>1.5665207418841962</v>
      </c>
      <c r="AV528" t="str">
        <f t="shared" si="433"/>
        <v>1+233,884702873709i</v>
      </c>
      <c r="AW528">
        <f t="shared" si="458"/>
        <v>233.88684066942105</v>
      </c>
      <c r="AX528">
        <f t="shared" si="459"/>
        <v>1.5665207418841962</v>
      </c>
      <c r="AY528" t="str">
        <f t="shared" si="434"/>
        <v>1-0,000108833733637938i</v>
      </c>
      <c r="AZ528">
        <f t="shared" si="460"/>
        <v>1.0000000059223908</v>
      </c>
      <c r="BA528">
        <f t="shared" si="461"/>
        <v>-1.0883373320823407E-4</v>
      </c>
      <c r="BB528" s="58" t="str">
        <f t="shared" si="462"/>
        <v>-0,0000188505446192627+0,00452401276748592i</v>
      </c>
      <c r="BC528">
        <f t="shared" si="463"/>
        <v>-46.889448160306188</v>
      </c>
      <c r="BD528" s="60">
        <f t="shared" si="464"/>
        <v>90.238737256751463</v>
      </c>
      <c r="BE528" s="58" t="str">
        <f t="shared" si="465"/>
        <v>-0,00048293347004255-0,000429739998432003i</v>
      </c>
      <c r="BF528" s="37">
        <f t="shared" si="466"/>
        <v>-63.789263789342563</v>
      </c>
      <c r="BG528" s="60">
        <f t="shared" si="467"/>
        <v>-138.33560417630619</v>
      </c>
      <c r="BH528" s="58" t="str">
        <f t="shared" si="468"/>
        <v>0,0853647095208237+0,00530294834658829i</v>
      </c>
      <c r="BI528" s="37">
        <f t="shared" si="469"/>
        <v>-21.357705367181147</v>
      </c>
      <c r="BJ528" s="60">
        <f t="shared" si="470"/>
        <v>3.5547080914092173</v>
      </c>
      <c r="BK528">
        <f t="shared" si="471"/>
        <v>-63.789263789342563</v>
      </c>
      <c r="BL528" s="60">
        <f t="shared" si="472"/>
        <v>-138.33560417630619</v>
      </c>
      <c r="BN528">
        <f t="shared" si="473"/>
        <v>0</v>
      </c>
      <c r="BO528">
        <f t="shared" si="474"/>
        <v>0</v>
      </c>
    </row>
    <row r="529" spans="13:67" x14ac:dyDescent="0.25">
      <c r="M529" s="66">
        <v>11</v>
      </c>
      <c r="N529" s="36">
        <f t="shared" si="476"/>
        <v>1288249.5516931366</v>
      </c>
      <c r="O529" s="91" t="str">
        <f t="shared" si="423"/>
        <v>13,7404580152672</v>
      </c>
      <c r="P529" s="67" t="str">
        <f t="shared" si="424"/>
        <v>1+8741,85550759332i</v>
      </c>
      <c r="Q529" s="67">
        <f t="shared" si="435"/>
        <v>8741.8555647894136</v>
      </c>
      <c r="R529" s="67">
        <f t="shared" si="436"/>
        <v>1.5706819346049583</v>
      </c>
      <c r="S529" s="67" t="str">
        <f t="shared" si="425"/>
        <v>1+242,82931965537i</v>
      </c>
      <c r="T529" s="67">
        <f t="shared" si="437"/>
        <v>242.83137870606808</v>
      </c>
      <c r="U529" s="67">
        <f t="shared" si="438"/>
        <v>1.5666782312185095</v>
      </c>
      <c r="V529" t="str">
        <f t="shared" si="426"/>
        <v>1-50,5894415948688i</v>
      </c>
      <c r="W529" s="67">
        <f t="shared" si="439"/>
        <v>50.599324114859897</v>
      </c>
      <c r="X529" s="67">
        <f t="shared" si="440"/>
        <v>-1.5510319302206317</v>
      </c>
      <c r="Y529" t="str">
        <f t="shared" si="427"/>
        <v>-105,213562076004+87,7810483775392i</v>
      </c>
      <c r="Z529" s="67">
        <f t="shared" si="441"/>
        <v>137.02337792866231</v>
      </c>
      <c r="AA529" s="67">
        <f t="shared" si="442"/>
        <v>2.4462764596654054</v>
      </c>
      <c r="AB529" s="92" t="str">
        <f t="shared" si="443"/>
        <v>-0,0919883478463518+0,106788994905031i</v>
      </c>
      <c r="AC529" s="37">
        <f t="shared" si="444"/>
        <v>-17.018951309926234</v>
      </c>
      <c r="AD529" s="60">
        <f t="shared" si="445"/>
        <v>130.74170454082972</v>
      </c>
      <c r="AE529" t="str">
        <f t="shared" si="446"/>
        <v>21,0353732052265</v>
      </c>
      <c r="AF529" t="str">
        <f t="shared" si="428"/>
        <v>1+4370,92775379666i</v>
      </c>
      <c r="AG529">
        <f t="shared" si="447"/>
        <v>4370.9278681888491</v>
      </c>
      <c r="AH529">
        <f t="shared" si="448"/>
        <v>1.5705675424180137</v>
      </c>
      <c r="AI529" t="str">
        <f t="shared" si="429"/>
        <v>1+242,82931965537i</v>
      </c>
      <c r="AJ529">
        <f t="shared" si="449"/>
        <v>242.83137870606808</v>
      </c>
      <c r="AK529">
        <f t="shared" si="450"/>
        <v>1.5666782312185095</v>
      </c>
      <c r="AL529" t="str">
        <f t="shared" si="430"/>
        <v>1-16,5224424373013i</v>
      </c>
      <c r="AM529">
        <f t="shared" si="451"/>
        <v>16.552676644396065</v>
      </c>
      <c r="AN529">
        <f t="shared" si="452"/>
        <v>-1.5103463273790902</v>
      </c>
      <c r="AO529" s="58" t="str">
        <f t="shared" si="453"/>
        <v>1,093535081152-19,3132147661168i</v>
      </c>
      <c r="AP529">
        <f t="shared" si="454"/>
        <v>25.730992377596813</v>
      </c>
      <c r="AQ529" s="60">
        <f t="shared" si="455"/>
        <v>-86.759311278850561</v>
      </c>
      <c r="AR529" t="str">
        <f t="shared" si="431"/>
        <v>-1,05811623246493</v>
      </c>
      <c r="AS529" t="str">
        <f t="shared" si="432"/>
        <v>1+239,332577452333i</v>
      </c>
      <c r="AT529">
        <f t="shared" si="456"/>
        <v>239.33466658630331</v>
      </c>
      <c r="AU529">
        <f t="shared" si="457"/>
        <v>1.5666180649328998</v>
      </c>
      <c r="AV529" t="str">
        <f t="shared" si="433"/>
        <v>1+239,332577452333i</v>
      </c>
      <c r="AW529">
        <f t="shared" si="458"/>
        <v>239.33466658630331</v>
      </c>
      <c r="AX529">
        <f t="shared" si="459"/>
        <v>1.5666180649328998</v>
      </c>
      <c r="AY529" t="str">
        <f t="shared" si="434"/>
        <v>1-0,000106356375406583i</v>
      </c>
      <c r="AZ529">
        <f t="shared" si="460"/>
        <v>1.0000000056558391</v>
      </c>
      <c r="BA529">
        <f t="shared" si="461"/>
        <v>-1.0635637500555995E-4</v>
      </c>
      <c r="BB529" s="58" t="str">
        <f t="shared" si="462"/>
        <v>-0,0000180021451652838+0,00442103720932225i</v>
      </c>
      <c r="BC529">
        <f t="shared" si="463"/>
        <v>-47.089444589424325</v>
      </c>
      <c r="BD529" s="60">
        <f t="shared" si="464"/>
        <v>90.233302998980761</v>
      </c>
      <c r="BE529" s="58" t="str">
        <f t="shared" si="465"/>
        <v>-0,000470462132429822-0,000408606339641135i</v>
      </c>
      <c r="BF529" s="37">
        <f t="shared" si="466"/>
        <v>-64.108395899350541</v>
      </c>
      <c r="BG529" s="60">
        <f t="shared" si="467"/>
        <v>-139.02499246018951</v>
      </c>
      <c r="BH529" s="58" t="str">
        <f t="shared" si="468"/>
        <v>0,0853647551353601+0,00518223857930016i</v>
      </c>
      <c r="BI529" s="37">
        <f t="shared" si="469"/>
        <v>-21.358452211827501</v>
      </c>
      <c r="BJ529" s="60">
        <f t="shared" si="470"/>
        <v>3.4739917201302055</v>
      </c>
      <c r="BK529">
        <f t="shared" si="471"/>
        <v>-64.108395899350541</v>
      </c>
      <c r="BL529" s="60">
        <f t="shared" si="472"/>
        <v>-139.02499246018951</v>
      </c>
      <c r="BN529">
        <f t="shared" si="473"/>
        <v>0</v>
      </c>
      <c r="BO529">
        <f t="shared" si="474"/>
        <v>0</v>
      </c>
    </row>
    <row r="530" spans="13:67" x14ac:dyDescent="0.25">
      <c r="M530" s="66">
        <v>12</v>
      </c>
      <c r="N530" s="36">
        <f t="shared" si="476"/>
        <v>1318256.7385564097</v>
      </c>
      <c r="O530" s="91" t="str">
        <f t="shared" si="423"/>
        <v>13,7404580152672</v>
      </c>
      <c r="P530" s="67" t="str">
        <f t="shared" si="424"/>
        <v>1+8945,47948045117i</v>
      </c>
      <c r="Q530" s="67">
        <f t="shared" si="435"/>
        <v>8945.4795363453231</v>
      </c>
      <c r="R530" s="67">
        <f t="shared" si="436"/>
        <v>1.5706845384890802</v>
      </c>
      <c r="S530" s="67" t="str">
        <f t="shared" si="425"/>
        <v>1+248,485541123644i</v>
      </c>
      <c r="T530" s="67">
        <f t="shared" si="437"/>
        <v>248.48755330500995</v>
      </c>
      <c r="U530" s="67">
        <f t="shared" si="438"/>
        <v>1.5667719694943136</v>
      </c>
      <c r="V530" t="str">
        <f t="shared" si="426"/>
        <v>1-51,7678210674257i</v>
      </c>
      <c r="W530" s="67">
        <f t="shared" si="439"/>
        <v>51.777478676244982</v>
      </c>
      <c r="X530" s="67">
        <f t="shared" si="440"/>
        <v>-1.5514817096290288</v>
      </c>
      <c r="Y530" t="str">
        <f t="shared" si="427"/>
        <v>-110,219253039961+89,8257316597938i</v>
      </c>
      <c r="Z530" s="67">
        <f t="shared" si="441"/>
        <v>142.18630668564478</v>
      </c>
      <c r="AA530" s="67">
        <f t="shared" si="442"/>
        <v>2.4577881925697564</v>
      </c>
      <c r="AB530" s="92" t="str">
        <f t="shared" si="443"/>
        <v>-0,0894558050879748+0,106376870299641i</v>
      </c>
      <c r="AC530" s="37">
        <f t="shared" si="444"/>
        <v>-17.140293044662329</v>
      </c>
      <c r="AD530" s="60">
        <f t="shared" si="445"/>
        <v>130.06158198472724</v>
      </c>
      <c r="AE530" t="str">
        <f t="shared" si="446"/>
        <v>21,0353732052265</v>
      </c>
      <c r="AF530" t="str">
        <f t="shared" si="428"/>
        <v>1+4472,73974022559i</v>
      </c>
      <c r="AG530">
        <f t="shared" si="447"/>
        <v>4472.739852013895</v>
      </c>
      <c r="AH530">
        <f t="shared" si="448"/>
        <v>1.5705727501860578</v>
      </c>
      <c r="AI530" t="str">
        <f t="shared" si="429"/>
        <v>1+248,485541123644i</v>
      </c>
      <c r="AJ530">
        <f t="shared" si="449"/>
        <v>248.48755330500995</v>
      </c>
      <c r="AK530">
        <f t="shared" si="450"/>
        <v>1.5667719694943136</v>
      </c>
      <c r="AL530" t="str">
        <f t="shared" si="430"/>
        <v>1-16,9072995614526i</v>
      </c>
      <c r="AM530">
        <f t="shared" si="451"/>
        <v>16.936846768530891</v>
      </c>
      <c r="AN530">
        <f t="shared" si="452"/>
        <v>-1.511719100847781</v>
      </c>
      <c r="AO530" s="58" t="str">
        <f t="shared" si="453"/>
        <v>1,0935350341732-19,7628672046109i</v>
      </c>
      <c r="AP530">
        <f t="shared" si="454"/>
        <v>25.93027561638046</v>
      </c>
      <c r="AQ530" s="60">
        <f t="shared" si="455"/>
        <v>-86.832892980381274</v>
      </c>
      <c r="AR530" t="str">
        <f t="shared" si="431"/>
        <v>-1,05811623246493</v>
      </c>
      <c r="AS530" t="str">
        <f t="shared" si="432"/>
        <v>1+244,907349331463i</v>
      </c>
      <c r="AT530">
        <f t="shared" si="456"/>
        <v>244.90939091133941</v>
      </c>
      <c r="AU530">
        <f t="shared" si="457"/>
        <v>1.5667131727150327</v>
      </c>
      <c r="AV530" t="str">
        <f t="shared" si="433"/>
        <v>1+244,907349331463i</v>
      </c>
      <c r="AW530">
        <f t="shared" si="458"/>
        <v>244.90939091133941</v>
      </c>
      <c r="AX530">
        <f t="shared" si="459"/>
        <v>1.5667131727150327</v>
      </c>
      <c r="AY530" t="str">
        <f t="shared" si="434"/>
        <v>1-0,000103935408733262i</v>
      </c>
      <c r="AZ530">
        <f t="shared" si="460"/>
        <v>1.0000000054012845</v>
      </c>
      <c r="BA530">
        <f t="shared" si="461"/>
        <v>-1.0393540835900552E-4</v>
      </c>
      <c r="BB530" s="58" t="str">
        <f t="shared" si="462"/>
        <v>-0,0000171919286735264+0,00432040542443748i</v>
      </c>
      <c r="BC530">
        <f t="shared" si="463"/>
        <v>-47.289441179255824</v>
      </c>
      <c r="BD530" s="60">
        <f t="shared" si="464"/>
        <v>90.227992435636878</v>
      </c>
      <c r="BE530" s="58" t="str">
        <f t="shared" si="465"/>
        <v>-0,000458053289656746-0,000388314169116213i</v>
      </c>
      <c r="BF530" s="37">
        <f t="shared" si="466"/>
        <v>-64.429734223918146</v>
      </c>
      <c r="BG530" s="60">
        <f t="shared" si="467"/>
        <v>-139.71042557963585</v>
      </c>
      <c r="BH530" s="58" t="str">
        <f t="shared" si="468"/>
        <v>0,085364798696929+0,00506427649682036i</v>
      </c>
      <c r="BI530" s="37">
        <f t="shared" si="469"/>
        <v>-21.359165562875368</v>
      </c>
      <c r="BJ530" s="60">
        <f t="shared" si="470"/>
        <v>3.3950994552556066</v>
      </c>
      <c r="BK530">
        <f t="shared" si="471"/>
        <v>-64.429734223918146</v>
      </c>
      <c r="BL530" s="60">
        <f t="shared" si="472"/>
        <v>-139.71042557963585</v>
      </c>
      <c r="BN530">
        <f t="shared" si="473"/>
        <v>0</v>
      </c>
      <c r="BO530">
        <f t="shared" si="474"/>
        <v>0</v>
      </c>
    </row>
    <row r="531" spans="13:67" x14ac:dyDescent="0.25">
      <c r="M531" s="66">
        <v>13</v>
      </c>
      <c r="N531" s="36">
        <f t="shared" si="476"/>
        <v>1348962.8825916562</v>
      </c>
      <c r="O531" s="91" t="str">
        <f t="shared" ref="O531:O560" si="477">COMPLEX(adc,0)</f>
        <v>13,7404580152672</v>
      </c>
      <c r="P531" s="67" t="str">
        <f t="shared" ref="P531:P560" si="478">IMSUM(COMPLEX(1,0),IMDIV(COMPLEX(0,2*PI()*N531),COMPLEX(wp_lf,0)))</f>
        <v>1+9153,84646493695i</v>
      </c>
      <c r="Q531" s="67">
        <f t="shared" si="435"/>
        <v>9153.846519558796</v>
      </c>
      <c r="R531" s="67">
        <f t="shared" si="436"/>
        <v>1.5706870831015649</v>
      </c>
      <c r="S531" s="67" t="str">
        <f t="shared" ref="S531:S560" si="479">IMSUM(COMPLEX(1,0),IMDIV(COMPLEX(0,2*PI()*N531),COMPLEX(wz_esr,0)))</f>
        <v>1+254,273512914916i</v>
      </c>
      <c r="T531" s="67">
        <f t="shared" si="437"/>
        <v>254.27547929380046</v>
      </c>
      <c r="U531" s="67">
        <f t="shared" si="438"/>
        <v>1.5668635740947965</v>
      </c>
      <c r="V531" t="str">
        <f t="shared" ref="V531:V560" si="480">IMSUB(COMPLEX(1,0),IMDIV(COMPLEX(0,2*PI()*N531),COMPLEX(wz_rhp,0)))</f>
        <v>1-52,9736485239407i</v>
      </c>
      <c r="W531" s="67">
        <f t="shared" si="439"/>
        <v>52.983086338359008</v>
      </c>
      <c r="X531" s="67">
        <f t="shared" si="440"/>
        <v>-1.5519212583604853</v>
      </c>
      <c r="Y531" t="str">
        <f t="shared" ref="Y531:Y560" si="481">IMSUM(COMPLEX(1,0),IMDIV(COMPLEX(0,2*PI()*N531),COMPLEX(Q*(wsl/2),0)),IMDIV(IMPOWER(COMPLEX(0,2*PI()*N531),2),IMPOWER(COMPLEX(wsl/2,0),2)))</f>
        <v>-115,460854951039+91,9180417339583i</v>
      </c>
      <c r="Z531" s="67">
        <f t="shared" si="441"/>
        <v>147.58094532232326</v>
      </c>
      <c r="AA531" s="67">
        <f t="shared" si="442"/>
        <v>2.4692361166961803</v>
      </c>
      <c r="AB531" s="92" t="str">
        <f t="shared" si="443"/>
        <v>-0,0869491480703094+0,105907947850484i</v>
      </c>
      <c r="AC531" s="37">
        <f t="shared" si="444"/>
        <v>-17.26381940599574</v>
      </c>
      <c r="AD531" s="60">
        <f t="shared" si="445"/>
        <v>129.38558272233033</v>
      </c>
      <c r="AE531" t="str">
        <f t="shared" si="446"/>
        <v>21,0353732052265</v>
      </c>
      <c r="AF531" t="str">
        <f t="shared" ref="AF531:AF560" si="482">IMSUM(COMPLEX(1,0),IMDIV(COMPLEX(0,2*PI()*N531),COMPLEX(wp_lf_DCM,0)))</f>
        <v>1+4576,92323246848i</v>
      </c>
      <c r="AG531">
        <f t="shared" si="447"/>
        <v>4576.9233417121732</v>
      </c>
      <c r="AH531">
        <f t="shared" si="448"/>
        <v>1.5705778394108405</v>
      </c>
      <c r="AI531" t="str">
        <f t="shared" ref="AI531:AI560" si="483">IMSUM(COMPLEX(1,0),IMDIV(COMPLEX(0,2*PI()*N531),COMPLEX(wz1_dcm,0)))</f>
        <v>1+254,273512914916i</v>
      </c>
      <c r="AJ531">
        <f t="shared" si="449"/>
        <v>254.27547929380046</v>
      </c>
      <c r="AK531">
        <f t="shared" si="450"/>
        <v>1.5668635740947965</v>
      </c>
      <c r="AL531" t="str">
        <f t="shared" ref="AL531:AL560" si="484">IMSUB(COMPLEX(1,0),IMDIV(COMPLEX(0,2*PI()*N531),COMPLEX(wz2_dcm,0)))</f>
        <v>1-17,3011211596259i</v>
      </c>
      <c r="AM531">
        <f t="shared" si="451"/>
        <v>17.32999692383282</v>
      </c>
      <c r="AN531">
        <f t="shared" si="452"/>
        <v>-1.5130608416182678</v>
      </c>
      <c r="AO531" s="58" t="str">
        <f t="shared" si="453"/>
        <v>1,09353498930879-20,2229981768884i</v>
      </c>
      <c r="AP531">
        <f t="shared" si="454"/>
        <v>26.129591005300835</v>
      </c>
      <c r="AQ531" s="60">
        <f t="shared" si="455"/>
        <v>-86.904812097840178</v>
      </c>
      <c r="AR531" t="str">
        <f t="shared" ref="AR531:AR560" si="485">COMPLEX(adc_ea,0)</f>
        <v>-1,05811623246493</v>
      </c>
      <c r="AS531" t="str">
        <f t="shared" ref="AS531:AS560" si="486">IMSUM(COMPLEX(1,0), IMDIV(COMPLEX(0,2*PI()*N531), COMPLEX(wp0_ea,0)))</f>
        <v>1+250,611974328941i</v>
      </c>
      <c r="AT531">
        <f t="shared" si="456"/>
        <v>250.61396943715999</v>
      </c>
      <c r="AU531">
        <f t="shared" si="457"/>
        <v>1.5668061156511139</v>
      </c>
      <c r="AV531" t="str">
        <f t="shared" ref="AV531:AV560" si="487">IMSUM(COMPLEX(1,0),IMDIV(COMPLEX(0,2*PI()*N531),COMPLEX(wp1_ea,0)))</f>
        <v>1+250,611974328941i</v>
      </c>
      <c r="AW531">
        <f t="shared" si="458"/>
        <v>250.61396943715999</v>
      </c>
      <c r="AX531">
        <f t="shared" si="459"/>
        <v>1.5668061156511139</v>
      </c>
      <c r="AY531" t="str">
        <f t="shared" ref="AY531:AY560" si="488">IMSUM(COMPLEX(1,0),IMDIV(COMPLEX(wz_ea,0),COMPLEX(0,2*PI()*N531)))</f>
        <v>1-0,0001015695499894i</v>
      </c>
      <c r="AZ531">
        <f t="shared" si="460"/>
        <v>1.0000000051581868</v>
      </c>
      <c r="BA531">
        <f t="shared" si="461"/>
        <v>-1.0156954964012352E-4</v>
      </c>
      <c r="BB531" s="58" t="str">
        <f t="shared" si="462"/>
        <v>-0,0000164181767422697+0,00422206407782965i</v>
      </c>
      <c r="BC531">
        <f t="shared" si="463"/>
        <v>-47.489437922567738</v>
      </c>
      <c r="BD531" s="60">
        <f t="shared" si="464"/>
        <v>90.222802751383384</v>
      </c>
      <c r="BE531" s="58" t="str">
        <f t="shared" si="465"/>
        <v>-0,000445722595695576-0,000368843690071765i</v>
      </c>
      <c r="BF531" s="37">
        <f t="shared" si="466"/>
        <v>-64.753257328563478</v>
      </c>
      <c r="BG531" s="60">
        <f t="shared" si="467"/>
        <v>-140.39161452628625</v>
      </c>
      <c r="BH531" s="58" t="str">
        <f t="shared" si="468"/>
        <v>0,0853648402979267+0,00494899955453722i</v>
      </c>
      <c r="BI531" s="37">
        <f t="shared" si="469"/>
        <v>-21.3598469172669</v>
      </c>
      <c r="BJ531" s="60">
        <f t="shared" si="470"/>
        <v>3.3179906535432058</v>
      </c>
      <c r="BK531">
        <f t="shared" si="471"/>
        <v>-64.753257328563478</v>
      </c>
      <c r="BL531" s="60">
        <f t="shared" si="472"/>
        <v>-140.39161452628625</v>
      </c>
      <c r="BN531">
        <f t="shared" si="473"/>
        <v>0</v>
      </c>
      <c r="BO531">
        <f t="shared" si="474"/>
        <v>0</v>
      </c>
    </row>
    <row r="532" spans="13:67" x14ac:dyDescent="0.25">
      <c r="M532" s="66">
        <v>14</v>
      </c>
      <c r="N532" s="36">
        <f t="shared" si="476"/>
        <v>1380384.2646028849</v>
      </c>
      <c r="O532" s="91" t="str">
        <f t="shared" si="477"/>
        <v>13,7404580152672</v>
      </c>
      <c r="P532" s="67" t="str">
        <f t="shared" si="478"/>
        <v>1+9367,06693998392i</v>
      </c>
      <c r="Q532" s="67">
        <f t="shared" ref="Q532:Q560" si="489">IMABS(P532)</f>
        <v>9367.0669933624213</v>
      </c>
      <c r="R532" s="67">
        <f t="shared" ref="R532:R560" si="490">IMARGUMENT(P532)</f>
        <v>1.570689569791599</v>
      </c>
      <c r="S532" s="67" t="str">
        <f t="shared" si="479"/>
        <v>1+260,196303888442i</v>
      </c>
      <c r="T532" s="67">
        <f t="shared" ref="T532:T560" si="491">IMABS(S532)</f>
        <v>260.19822550741281</v>
      </c>
      <c r="U532" s="67">
        <f t="shared" ref="U532:U560" si="492">IMARGUMENT(S532)</f>
        <v>1.566953093583777</v>
      </c>
      <c r="V532" t="str">
        <f t="shared" si="480"/>
        <v>1-54,2075633100921i</v>
      </c>
      <c r="W532" s="67">
        <f t="shared" ref="W532:W560" si="493">IMABS(V532)</f>
        <v>54.216786330597316</v>
      </c>
      <c r="X532" s="67">
        <f t="shared" ref="X532:X560" si="494">IMARGUMENT(V532)</f>
        <v>-1.5523508087897895</v>
      </c>
      <c r="Y532" t="str">
        <f t="shared" si="481"/>
        <v>-120,949485949648+94,0590879705293i</v>
      </c>
      <c r="Z532" s="67">
        <f t="shared" ref="Z532:Z560" si="495">IMABS(Y532)</f>
        <v>153.21843942989324</v>
      </c>
      <c r="AA532" s="67">
        <f t="shared" ref="AA532:AA560" si="496">IMARGUMENT(Y532)</f>
        <v>2.4806150901215491</v>
      </c>
      <c r="AB532" s="92" t="str">
        <f t="shared" ref="AB532:AB560" si="497">(IMDIV(IMPRODUCT(O532,S532,V532),IMPRODUCT(P532,Y532)))</f>
        <v>-0,0844706014456102+0,105383799065148i</v>
      </c>
      <c r="AC532" s="37">
        <f t="shared" ref="AC532:AC560" si="498">20*LOG(IMABS(AB532))</f>
        <v>-17.38950699203172</v>
      </c>
      <c r="AD532" s="60">
        <f t="shared" ref="AD532:AD560" si="499">(180/PI())*IMARGUMENT(AB532)</f>
        <v>128.71399075523672</v>
      </c>
      <c r="AE532" t="str">
        <f t="shared" ref="AE532:AE560" si="500">COMPLEX($B$67,0)</f>
        <v>21,0353732052265</v>
      </c>
      <c r="AF532" t="str">
        <f t="shared" si="482"/>
        <v>1+4683,53346999196i</v>
      </c>
      <c r="AG532">
        <f t="shared" ref="AG532:AG560" si="501">IMABS(AF532)</f>
        <v>4683.5335767489632</v>
      </c>
      <c r="AH532">
        <f t="shared" ref="AH532:AH560" si="502">IMARGUMENT(AF532)</f>
        <v>1.5705828127907349</v>
      </c>
      <c r="AI532" t="str">
        <f t="shared" si="483"/>
        <v>1+260,196303888442i</v>
      </c>
      <c r="AJ532">
        <f t="shared" ref="AJ532:AJ560" si="503">IMABS(AI532)</f>
        <v>260.19822550741281</v>
      </c>
      <c r="AK532">
        <f t="shared" ref="AK532:AK560" si="504">IMARGUMENT(AI532)</f>
        <v>1.566953093583777</v>
      </c>
      <c r="AL532" t="str">
        <f t="shared" si="484"/>
        <v>1-17,7041160412454i</v>
      </c>
      <c r="AM532">
        <f t="shared" ref="AM532:AM560" si="505">IMABS(AL532)</f>
        <v>17.732335570981128</v>
      </c>
      <c r="AN532">
        <f t="shared" ref="AN532:AN560" si="506">IMARGUMENT(AL532)</f>
        <v>-1.5143722417643928</v>
      </c>
      <c r="AO532" s="58" t="str">
        <f t="shared" ref="AO532:AO560" si="507">(IMDIV(IMPRODUCT(AE532,AI532,AL532),IMPRODUCT(AF532)))</f>
        <v>1,0935349464636-20,6938516504813i</v>
      </c>
      <c r="AP532">
        <f t="shared" ref="AP532:AP560" si="508">20*LOG(IMABS(AO532))</f>
        <v>26.328937106960865</v>
      </c>
      <c r="AQ532" s="60">
        <f t="shared" ref="AQ532:AQ560" si="509">(180/PI())*IMARGUMENT(AO532)</f>
        <v>-86.975105656241098</v>
      </c>
      <c r="AR532" t="str">
        <f t="shared" si="485"/>
        <v>-1,05811623246493</v>
      </c>
      <c r="AS532" t="str">
        <f t="shared" si="486"/>
        <v>1+256,449477112449i</v>
      </c>
      <c r="AT532">
        <f t="shared" ref="AT532:AT560" si="510">IMABS(AS532)</f>
        <v>256.45142680680976</v>
      </c>
      <c r="AU532">
        <f t="shared" ref="AU532:AU560" si="511">IMARGUMENT(AS532)</f>
        <v>1.5668969430142916</v>
      </c>
      <c r="AV532" t="str">
        <f t="shared" si="487"/>
        <v>1+256,449477112449i</v>
      </c>
      <c r="AW532">
        <f t="shared" ref="AW532:AW560" si="512">IMABS(AV532)</f>
        <v>256.45142680680976</v>
      </c>
      <c r="AX532">
        <f t="shared" ref="AX532:AX560" si="513">IMARGUMENT(AV532)</f>
        <v>1.5668969430142916</v>
      </c>
      <c r="AY532" t="str">
        <f t="shared" si="488"/>
        <v>1-0,0000992575447653733i</v>
      </c>
      <c r="AZ532">
        <f t="shared" ref="AZ532:AZ560" si="514">IMABS(AY532)</f>
        <v>1.00000000492603</v>
      </c>
      <c r="BA532">
        <f t="shared" ref="BA532:BA560" si="515">IMARGUMENT(AY532)</f>
        <v>-9.9257544439409532E-5</v>
      </c>
      <c r="BB532" s="58" t="str">
        <f t="shared" ref="BB532:BB560" si="516">IMDIV(IMPRODUCT(AR532,AY532), AS532)</f>
        <v>-0,0000156792483005213+0,0041259610474958i</v>
      </c>
      <c r="BC532">
        <f t="shared" ref="BC532:BC560" si="517">20*LOG(IMABS(BB532))</f>
        <v>-47.68943481245244</v>
      </c>
      <c r="BD532" s="60">
        <f t="shared" ref="BD532:BD560" si="518">(180/PI())*IMARGUMENT(BB532)</f>
        <v>90.217731194949224</v>
      </c>
      <c r="BE532" s="58" t="str">
        <f t="shared" ref="BE532:BE560" si="519">IMPRODUCT(AB532,BB532)</f>
        <v>-0,000433485014445765-0,000350174749975525i</v>
      </c>
      <c r="BF532" s="37">
        <f t="shared" ref="BF532:BF560" si="520">20*LOG(IMABS(BE532))</f>
        <v>-65.078941804484145</v>
      </c>
      <c r="BG532" s="60">
        <f t="shared" ref="BG532:BG560" si="521">(180/PI())*IMARGUMENT(BE532)</f>
        <v>-141.06827804981407</v>
      </c>
      <c r="BH532" s="58" t="str">
        <f t="shared" ref="BH532:BH560" si="522">IMPRODUCT(AO532,BB532)</f>
        <v>0,0853648800265916+0,00483634663150627i</v>
      </c>
      <c r="BI532" s="37">
        <f t="shared" ref="BI532:BI560" si="523">20*LOG(IMABS(BH532))</f>
        <v>-21.360497705491571</v>
      </c>
      <c r="BJ532" s="60">
        <f t="shared" ref="BJ532:BJ560" si="524">(180/PI())*IMARGUMENT(BH532)</f>
        <v>3.2426255387081224</v>
      </c>
      <c r="BK532">
        <f t="shared" ref="BK532:BK560" si="525">IF($B$19=0,BF532,BI532)</f>
        <v>-65.078941804484145</v>
      </c>
      <c r="BL532" s="60">
        <f t="shared" ref="BL532:BL560" si="526">IF($B$19=0,BG532,BJ532)</f>
        <v>-141.06827804981407</v>
      </c>
      <c r="BN532">
        <f t="shared" si="473"/>
        <v>0</v>
      </c>
      <c r="BO532">
        <f t="shared" si="474"/>
        <v>0</v>
      </c>
    </row>
    <row r="533" spans="13:67" x14ac:dyDescent="0.25">
      <c r="M533" s="66">
        <v>15</v>
      </c>
      <c r="N533" s="36">
        <f t="shared" si="476"/>
        <v>1412537.5446227565</v>
      </c>
      <c r="O533" s="91" t="str">
        <f t="shared" si="477"/>
        <v>13,7404580152672</v>
      </c>
      <c r="P533" s="67" t="str">
        <f t="shared" si="478"/>
        <v>1+9585,25395791029i</v>
      </c>
      <c r="Q533" s="67">
        <f t="shared" si="489"/>
        <v>9585.2540100737478</v>
      </c>
      <c r="R533" s="67">
        <f t="shared" si="490"/>
        <v>1.5706919998776587</v>
      </c>
      <c r="S533" s="67" t="str">
        <f t="shared" si="479"/>
        <v>1+266,257054386397i</v>
      </c>
      <c r="T533" s="67">
        <f t="shared" si="491"/>
        <v>266.25893226429184</v>
      </c>
      <c r="U533" s="67">
        <f t="shared" si="492"/>
        <v>1.5670405754199306</v>
      </c>
      <c r="V533" t="str">
        <f t="shared" si="480"/>
        <v>1-55,4702196638327i</v>
      </c>
      <c r="W533" s="67">
        <f t="shared" si="493"/>
        <v>55.479232777264073</v>
      </c>
      <c r="X533" s="67">
        <f t="shared" si="494"/>
        <v>-1.5527705880358385</v>
      </c>
      <c r="Y533" t="str">
        <f t="shared" si="481"/>
        <v>-126,696788158009+96,2500055805618i</v>
      </c>
      <c r="Z533" s="67">
        <f t="shared" si="495"/>
        <v>159.1104638413627</v>
      </c>
      <c r="AA533" s="67">
        <f t="shared" si="496"/>
        <v>2.4919201228861407</v>
      </c>
      <c r="AB533" s="92" t="str">
        <f t="shared" si="497"/>
        <v>-0,0820222809152755+0,104806100525794i</v>
      </c>
      <c r="AC533" s="37">
        <f t="shared" si="498"/>
        <v>-17.517330517825002</v>
      </c>
      <c r="AD533" s="60">
        <f t="shared" si="499"/>
        <v>128.04708161776338</v>
      </c>
      <c r="AE533" t="str">
        <f t="shared" si="500"/>
        <v>21,0353732052265</v>
      </c>
      <c r="AF533" t="str">
        <f t="shared" si="482"/>
        <v>1+4792,62697895515i</v>
      </c>
      <c r="AG533">
        <f t="shared" si="501"/>
        <v>4792.6270832820665</v>
      </c>
      <c r="AH533">
        <f t="shared" si="502"/>
        <v>1.5705876729626917</v>
      </c>
      <c r="AI533" t="str">
        <f t="shared" si="483"/>
        <v>1+266,257054386397i</v>
      </c>
      <c r="AJ533">
        <f t="shared" si="503"/>
        <v>266.25893226429184</v>
      </c>
      <c r="AK533">
        <f t="shared" si="504"/>
        <v>1.5670405754199306</v>
      </c>
      <c r="AL533" t="str">
        <f t="shared" si="484"/>
        <v>1-18,1164978795317i</v>
      </c>
      <c r="AM533">
        <f t="shared" si="505"/>
        <v>18.144076042033017</v>
      </c>
      <c r="AN533">
        <f t="shared" si="506"/>
        <v>-1.515653978555205</v>
      </c>
      <c r="AO533" s="58" t="str">
        <f t="shared" si="507"/>
        <v>1,09353490554677-21,1756772781342i</v>
      </c>
      <c r="AP533">
        <f t="shared" si="508"/>
        <v>26.528312547816753</v>
      </c>
      <c r="AQ533" s="60">
        <f t="shared" si="509"/>
        <v>-87.043809892146484</v>
      </c>
      <c r="AR533" t="str">
        <f t="shared" si="485"/>
        <v>-1,05811623246493</v>
      </c>
      <c r="AS533" t="str">
        <f t="shared" si="486"/>
        <v>1+262,422952803233i</v>
      </c>
      <c r="AT533">
        <f t="shared" si="510"/>
        <v>262.4248581174578</v>
      </c>
      <c r="AU533">
        <f t="shared" si="511"/>
        <v>1.5669857029564382</v>
      </c>
      <c r="AV533" t="str">
        <f t="shared" si="487"/>
        <v>1+262,422952803233i</v>
      </c>
      <c r="AW533">
        <f t="shared" si="512"/>
        <v>262.4248581174578</v>
      </c>
      <c r="AX533">
        <f t="shared" si="513"/>
        <v>1.5669857029564382</v>
      </c>
      <c r="AY533" t="str">
        <f t="shared" si="488"/>
        <v>1-0,0000969981672054102i</v>
      </c>
      <c r="AZ533">
        <f t="shared" si="514"/>
        <v>1.0000000047043223</v>
      </c>
      <c r="BA533">
        <f t="shared" si="515"/>
        <v>-9.6998166901203113E-5</v>
      </c>
      <c r="BB533" s="58" t="str">
        <f t="shared" si="516"/>
        <v>-0,0000149735761284488+0,00403204539689093i</v>
      </c>
      <c r="BC533">
        <f t="shared" si="517"/>
        <v>-47.889431842313343</v>
      </c>
      <c r="BD533" s="60">
        <f t="shared" si="518"/>
        <v>90.212775077671651</v>
      </c>
      <c r="BE533" s="58" t="str">
        <f t="shared" si="519"/>
        <v>-0,000421354788323602-0,00033228688233188i</v>
      </c>
      <c r="BF533" s="37">
        <f t="shared" si="520"/>
        <v>-65.406762360138345</v>
      </c>
      <c r="BG533" s="60">
        <f t="shared" si="521"/>
        <v>-141.74014330456495</v>
      </c>
      <c r="BH533" s="58" t="str">
        <f t="shared" si="522"/>
        <v>0,0853649179671915+0,00472625799804502i</v>
      </c>
      <c r="BI533" s="37">
        <f t="shared" si="523"/>
        <v>-21.361119294496589</v>
      </c>
      <c r="BJ533" s="60">
        <f t="shared" si="524"/>
        <v>3.1689651855251855</v>
      </c>
      <c r="BK533">
        <f t="shared" si="525"/>
        <v>-65.406762360138345</v>
      </c>
      <c r="BL533" s="60">
        <f t="shared" si="526"/>
        <v>-141.74014330456495</v>
      </c>
      <c r="BN533">
        <f t="shared" ref="BN533:BN559" si="527">SUM((BK534&lt;0)*(BK533&gt;0))*N533</f>
        <v>0</v>
      </c>
      <c r="BO533">
        <f t="shared" ref="BO533:BO559" si="528">IF(BN533&gt;0,BL533,0)</f>
        <v>0</v>
      </c>
    </row>
    <row r="534" spans="13:67" x14ac:dyDescent="0.25">
      <c r="M534" s="66">
        <v>16</v>
      </c>
      <c r="N534" s="36">
        <f t="shared" si="476"/>
        <v>1445439.7707459298</v>
      </c>
      <c r="O534" s="91" t="str">
        <f t="shared" si="477"/>
        <v>13,7404580152672</v>
      </c>
      <c r="P534" s="67" t="str">
        <f t="shared" si="478"/>
        <v>1+9808,52320436097i</v>
      </c>
      <c r="Q534" s="67">
        <f t="shared" si="489"/>
        <v>9808.5232553370424</v>
      </c>
      <c r="R534" s="67">
        <f t="shared" si="490"/>
        <v>1.5706943746482074</v>
      </c>
      <c r="S534" s="67" t="str">
        <f t="shared" si="479"/>
        <v>1+272,458977898916i</v>
      </c>
      <c r="T534" s="67">
        <f t="shared" si="491"/>
        <v>272.46081303138254</v>
      </c>
      <c r="U534" s="67">
        <f t="shared" si="492"/>
        <v>1.5671260659819257</v>
      </c>
      <c r="V534" t="str">
        <f t="shared" si="480"/>
        <v>1-56,7622870622741i</v>
      </c>
      <c r="W534" s="67">
        <f t="shared" si="493"/>
        <v>56.771095044397462</v>
      </c>
      <c r="X534" s="67">
        <f t="shared" si="494"/>
        <v>-1.5531808180790352</v>
      </c>
      <c r="Y534" t="str">
        <f t="shared" si="481"/>
        <v>-132,714952374659+98,4919562175724i</v>
      </c>
      <c r="Z534" s="67">
        <f t="shared" si="495"/>
        <v>165.26924705876831</v>
      </c>
      <c r="AA534" s="67">
        <f t="shared" si="496"/>
        <v>2.5031463872626913</v>
      </c>
      <c r="AB534" s="92" t="str">
        <f t="shared" si="497"/>
        <v>-0,0796061872264602+0,1041766247543i</v>
      </c>
      <c r="AC534" s="37">
        <f t="shared" si="498"/>
        <v>-17.647262912554627</v>
      </c>
      <c r="AD534" s="60">
        <f t="shared" si="499"/>
        <v>127.38512178324504</v>
      </c>
      <c r="AE534" t="str">
        <f t="shared" si="500"/>
        <v>21,0353732052265</v>
      </c>
      <c r="AF534" t="str">
        <f t="shared" si="482"/>
        <v>1+4904,26160218049i</v>
      </c>
      <c r="AG534">
        <f t="shared" si="501"/>
        <v>4904.2617041326366</v>
      </c>
      <c r="AH534">
        <f t="shared" si="502"/>
        <v>1.5705924225036376</v>
      </c>
      <c r="AI534" t="str">
        <f t="shared" si="483"/>
        <v>1+272,458977898916i</v>
      </c>
      <c r="AJ534">
        <f t="shared" si="503"/>
        <v>272.46081303138254</v>
      </c>
      <c r="AK534">
        <f t="shared" si="504"/>
        <v>1.5671260659819257</v>
      </c>
      <c r="AL534" t="str">
        <f t="shared" si="484"/>
        <v>1-18,538485324794i</v>
      </c>
      <c r="AM534">
        <f t="shared" si="505"/>
        <v>18.565436653566824</v>
      </c>
      <c r="AN534">
        <f t="shared" si="506"/>
        <v>-1.5169067147293755</v>
      </c>
      <c r="AO534" s="58" t="str">
        <f t="shared" si="507"/>
        <v>1,09353486647151-21,6687305301724i</v>
      </c>
      <c r="AP534">
        <f t="shared" si="508"/>
        <v>26.727716015377098</v>
      </c>
      <c r="AQ534" s="60">
        <f t="shared" si="509"/>
        <v>-87.110960268030112</v>
      </c>
      <c r="AR534" t="str">
        <f t="shared" si="485"/>
        <v>-1,05811623246493</v>
      </c>
      <c r="AS534" t="str">
        <f t="shared" si="486"/>
        <v>1+268,535568617172i</v>
      </c>
      <c r="AT534">
        <f t="shared" si="510"/>
        <v>268.53743056145424</v>
      </c>
      <c r="AU534">
        <f t="shared" si="511"/>
        <v>1.5670724425336524</v>
      </c>
      <c r="AV534" t="str">
        <f t="shared" si="487"/>
        <v>1+268,535568617172i</v>
      </c>
      <c r="AW534">
        <f t="shared" si="512"/>
        <v>268.53743056145424</v>
      </c>
      <c r="AX534">
        <f t="shared" si="513"/>
        <v>1.5670724425336524</v>
      </c>
      <c r="AY534" t="str">
        <f t="shared" si="488"/>
        <v>1-0,000094790219357622i</v>
      </c>
      <c r="AZ534">
        <f t="shared" si="514"/>
        <v>1.0000000044925927</v>
      </c>
      <c r="BA534">
        <f t="shared" si="515"/>
        <v>-9.479021907371943E-5</v>
      </c>
      <c r="BB534" s="58" t="str">
        <f t="shared" si="516"/>
        <v>-0,0000142996635343401+0,00394026734800946i</v>
      </c>
      <c r="BC534">
        <f t="shared" si="517"/>
        <v>-48.089429005850619</v>
      </c>
      <c r="BD534" s="60">
        <f t="shared" si="518"/>
        <v>90.207931772072428</v>
      </c>
      <c r="BE534" s="58" t="str">
        <f t="shared" si="519"/>
        <v>-0,000409345411252612-0,000315159350910079i</v>
      </c>
      <c r="BF534" s="37">
        <f t="shared" si="520"/>
        <v>-65.736691918405242</v>
      </c>
      <c r="BG534" s="60">
        <f t="shared" si="521"/>
        <v>-142.40694644468246</v>
      </c>
      <c r="BH534" s="58" t="str">
        <f t="shared" si="522"/>
        <v>0,0853649542002004+0,00461867528406532i</v>
      </c>
      <c r="BI534" s="37">
        <f t="shared" si="523"/>
        <v>-21.361712990473517</v>
      </c>
      <c r="BJ534" s="60">
        <f t="shared" si="524"/>
        <v>3.0969715040423358</v>
      </c>
      <c r="BK534">
        <f t="shared" si="525"/>
        <v>-65.736691918405242</v>
      </c>
      <c r="BL534" s="60">
        <f t="shared" si="526"/>
        <v>-142.40694644468246</v>
      </c>
      <c r="BN534">
        <f t="shared" si="527"/>
        <v>0</v>
      </c>
      <c r="BO534">
        <f t="shared" si="528"/>
        <v>0</v>
      </c>
    </row>
    <row r="535" spans="13:67" x14ac:dyDescent="0.25">
      <c r="M535" s="66">
        <v>17</v>
      </c>
      <c r="N535" s="36">
        <f t="shared" si="476"/>
        <v>1479108.3881682095</v>
      </c>
      <c r="O535" s="91" t="str">
        <f t="shared" si="477"/>
        <v>13,7404580152672</v>
      </c>
      <c r="P535" s="67" t="str">
        <f t="shared" si="478"/>
        <v>1+10036,9930596457i</v>
      </c>
      <c r="Q535" s="67">
        <f t="shared" si="489"/>
        <v>10036.993109461417</v>
      </c>
      <c r="R535" s="67">
        <f t="shared" si="490"/>
        <v>1.57069669536238</v>
      </c>
      <c r="S535" s="67" t="str">
        <f t="shared" si="479"/>
        <v>1+278,805362767937i</v>
      </c>
      <c r="T535" s="67">
        <f t="shared" si="491"/>
        <v>278.80715612796058</v>
      </c>
      <c r="U535" s="67">
        <f t="shared" si="492"/>
        <v>1.5672096105929885</v>
      </c>
      <c r="V535" t="str">
        <f t="shared" si="480"/>
        <v>1-58,0844505766536i</v>
      </c>
      <c r="W535" s="67">
        <f t="shared" si="493"/>
        <v>58.093058094678696</v>
      </c>
      <c r="X535" s="67">
        <f t="shared" si="494"/>
        <v>-1.5535817158761651</v>
      </c>
      <c r="Y535" t="str">
        <f t="shared" si="481"/>
        <v>-139,016743932772+100,786128593465i</v>
      </c>
      <c r="Z535" s="67">
        <f t="shared" si="495"/>
        <v>171.70759683406081</v>
      </c>
      <c r="AA535" s="67">
        <f t="shared" si="496"/>
        <v>2.5142892270907429</v>
      </c>
      <c r="AB535" s="92" t="str">
        <f t="shared" si="497"/>
        <v>-0,0772242010487678+0,103497230741717i</v>
      </c>
      <c r="AC535" s="37">
        <f t="shared" si="498"/>
        <v>-17.779275421521717</v>
      </c>
      <c r="AD535" s="60">
        <f t="shared" si="499"/>
        <v>126.72836812400323</v>
      </c>
      <c r="AE535" t="str">
        <f t="shared" si="500"/>
        <v>21,0353732052265</v>
      </c>
      <c r="AF535" t="str">
        <f t="shared" si="482"/>
        <v>1+5018,49652982287i</v>
      </c>
      <c r="AG535">
        <f t="shared" si="501"/>
        <v>5018.4966294543019</v>
      </c>
      <c r="AH535">
        <f t="shared" si="502"/>
        <v>1.5705970639318414</v>
      </c>
      <c r="AI535" t="str">
        <f t="shared" si="483"/>
        <v>1+278,805362767937i</v>
      </c>
      <c r="AJ535">
        <f t="shared" si="503"/>
        <v>278.80715612796058</v>
      </c>
      <c r="AK535">
        <f t="shared" si="504"/>
        <v>1.5672096105929885</v>
      </c>
      <c r="AL535" t="str">
        <f t="shared" si="484"/>
        <v>1-18,9703021203612i</v>
      </c>
      <c r="AM535">
        <f t="shared" si="505"/>
        <v>18.99664082246597</v>
      </c>
      <c r="AN535">
        <f t="shared" si="506"/>
        <v>-1.5181310987674617</v>
      </c>
      <c r="AO535" s="58" t="str">
        <f t="shared" si="507"/>
        <v>1,09353482915491-22,1732728299562i</v>
      </c>
      <c r="AP535">
        <f t="shared" si="508"/>
        <v>26.927146255522349</v>
      </c>
      <c r="AQ535" s="60">
        <f t="shared" si="509"/>
        <v>-87.176591486547665</v>
      </c>
      <c r="AR535" t="str">
        <f t="shared" si="485"/>
        <v>-1,05811623246493</v>
      </c>
      <c r="AS535" t="str">
        <f t="shared" si="486"/>
        <v>1+274,790565544079i</v>
      </c>
      <c r="AT535">
        <f t="shared" si="510"/>
        <v>274.79238510561896</v>
      </c>
      <c r="AU535">
        <f t="shared" si="511"/>
        <v>1.5671572077311824</v>
      </c>
      <c r="AV535" t="str">
        <f t="shared" si="487"/>
        <v>1+274,790565544079i</v>
      </c>
      <c r="AW535">
        <f t="shared" si="512"/>
        <v>274.79238510561896</v>
      </c>
      <c r="AX535">
        <f t="shared" si="513"/>
        <v>1.5671572077311824</v>
      </c>
      <c r="AY535" t="str">
        <f t="shared" si="488"/>
        <v>1-0,0000926325305388343i</v>
      </c>
      <c r="AZ535">
        <f t="shared" si="514"/>
        <v>1.0000000042903927</v>
      </c>
      <c r="BA535">
        <f t="shared" si="515"/>
        <v>-9.2632530273881002E-5</v>
      </c>
      <c r="BB535" s="58" t="str">
        <f t="shared" si="516"/>
        <v>-0,000013656081181053+0,00385057825507484i</v>
      </c>
      <c r="BC535">
        <f t="shared" si="517"/>
        <v>-48.289426297047989</v>
      </c>
      <c r="BD535" s="60">
        <f t="shared" si="518"/>
        <v>90.203198710466111</v>
      </c>
      <c r="BE535" s="58" t="str">
        <f t="shared" si="519"/>
        <v>-0,000397469606195855-0,000298771195908936i</v>
      </c>
      <c r="BF535" s="37">
        <f t="shared" si="520"/>
        <v>-66.068701718569713</v>
      </c>
      <c r="BG535" s="60">
        <f t="shared" si="521"/>
        <v>-143.06843316553068</v>
      </c>
      <c r="BH535" s="58" t="str">
        <f t="shared" si="522"/>
        <v>0,0853649888024699+0,0045135414481264i</v>
      </c>
      <c r="BI535" s="37">
        <f t="shared" si="523"/>
        <v>-21.362280041525644</v>
      </c>
      <c r="BJ535" s="60">
        <f t="shared" si="524"/>
        <v>3.0266072239184605</v>
      </c>
      <c r="BK535">
        <f t="shared" si="525"/>
        <v>-66.068701718569713</v>
      </c>
      <c r="BL535" s="60">
        <f t="shared" si="526"/>
        <v>-143.06843316553068</v>
      </c>
      <c r="BN535">
        <f t="shared" si="527"/>
        <v>0</v>
      </c>
      <c r="BO535">
        <f t="shared" si="528"/>
        <v>0</v>
      </c>
    </row>
    <row r="536" spans="13:67" x14ac:dyDescent="0.25">
      <c r="M536" s="66">
        <v>18</v>
      </c>
      <c r="N536" s="36">
        <f t="shared" si="476"/>
        <v>1513561.2484362102</v>
      </c>
      <c r="O536" s="91" t="str">
        <f t="shared" si="477"/>
        <v>13,7404580152672</v>
      </c>
      <c r="P536" s="67" t="str">
        <f t="shared" si="478"/>
        <v>1+10270,7846615061i</v>
      </c>
      <c r="Q536" s="67">
        <f t="shared" si="489"/>
        <v>10270.784710187872</v>
      </c>
      <c r="R536" s="67">
        <f t="shared" si="490"/>
        <v>1.5706989632506498</v>
      </c>
      <c r="S536" s="67" t="str">
        <f t="shared" si="479"/>
        <v>1+285,299573930724i</v>
      </c>
      <c r="T536" s="67">
        <f t="shared" si="491"/>
        <v>285.30132646914325</v>
      </c>
      <c r="U536" s="67">
        <f t="shared" si="492"/>
        <v>1.5672912535449099</v>
      </c>
      <c r="V536" t="str">
        <f t="shared" si="480"/>
        <v>1-59,4374112355674i</v>
      </c>
      <c r="W536" s="67">
        <f t="shared" si="493"/>
        <v>59.445822850608714</v>
      </c>
      <c r="X536" s="67">
        <f t="shared" si="494"/>
        <v>-1.553973493472796</v>
      </c>
      <c r="Y536" t="str">
        <f t="shared" si="481"/>
        <v>-145,615529777138+103,133739108799i</v>
      </c>
      <c r="Z536" s="67">
        <f t="shared" si="495"/>
        <v>178.4389269605665</v>
      </c>
      <c r="AA536" s="67">
        <f t="shared" si="496"/>
        <v>2.5253441661475575</v>
      </c>
      <c r="AB536" s="92" t="str">
        <f t="shared" si="497"/>
        <v>-0,0748780787437087+0,102769854235321i</v>
      </c>
      <c r="AC536" s="37">
        <f t="shared" si="498"/>
        <v>-17.913337712202274</v>
      </c>
      <c r="AD536" s="60">
        <f t="shared" si="499"/>
        <v>126.07706742662447</v>
      </c>
      <c r="AE536" t="str">
        <f t="shared" si="500"/>
        <v>21,0353732052265</v>
      </c>
      <c r="AF536" t="str">
        <f t="shared" si="482"/>
        <v>1+5135,39233075303i</v>
      </c>
      <c r="AG536">
        <f t="shared" si="501"/>
        <v>5135.3924281165737</v>
      </c>
      <c r="AH536">
        <f t="shared" si="502"/>
        <v>1.570601599708249</v>
      </c>
      <c r="AI536" t="str">
        <f t="shared" si="483"/>
        <v>1+285,299573930724i</v>
      </c>
      <c r="AJ536">
        <f t="shared" si="503"/>
        <v>285.30132646914325</v>
      </c>
      <c r="AK536">
        <f t="shared" si="504"/>
        <v>1.5672912535449099</v>
      </c>
      <c r="AL536" t="str">
        <f t="shared" si="484"/>
        <v>1-19,4121772212144i</v>
      </c>
      <c r="AM536">
        <f t="shared" si="505"/>
        <v>19.437917184406235</v>
      </c>
      <c r="AN536">
        <f t="shared" si="506"/>
        <v>-1.5193277651618098</v>
      </c>
      <c r="AO536" s="58" t="str">
        <f t="shared" si="507"/>
        <v>1,09353479351785-22,6895716924922i</v>
      </c>
      <c r="AP536">
        <f t="shared" si="508"/>
        <v>27.126602069939281</v>
      </c>
      <c r="AQ536" s="60">
        <f t="shared" si="509"/>
        <v>-87.240737504701812</v>
      </c>
      <c r="AR536" t="str">
        <f t="shared" si="485"/>
        <v>-1,05811623246493</v>
      </c>
      <c r="AS536" t="str">
        <f t="shared" si="486"/>
        <v>1+281,191260066121i</v>
      </c>
      <c r="AT536">
        <f t="shared" si="510"/>
        <v>281.19303820964853</v>
      </c>
      <c r="AU536">
        <f t="shared" si="511"/>
        <v>1.5672400434877827</v>
      </c>
      <c r="AV536" t="str">
        <f t="shared" si="487"/>
        <v>1+281,191260066121i</v>
      </c>
      <c r="AW536">
        <f t="shared" si="512"/>
        <v>281.19303820964853</v>
      </c>
      <c r="AX536">
        <f t="shared" si="513"/>
        <v>1.5672400434877827</v>
      </c>
      <c r="AY536" t="str">
        <f t="shared" si="488"/>
        <v>1-0,0000905239567138747i</v>
      </c>
      <c r="AZ536">
        <f t="shared" si="514"/>
        <v>1.0000000040972934</v>
      </c>
      <c r="BA536">
        <f t="shared" si="515"/>
        <v>-9.0523956466605896E-5</v>
      </c>
      <c r="BB536" s="58" t="str">
        <f t="shared" si="516"/>
        <v>-0,0000130414640552336+0,00376293057882406i</v>
      </c>
      <c r="BC536">
        <f t="shared" si="517"/>
        <v>-48.489423710159983</v>
      </c>
      <c r="BD536" s="60">
        <f t="shared" si="518"/>
        <v>90.198573383600092</v>
      </c>
      <c r="BE536" s="58" t="str">
        <f t="shared" si="519"/>
        <v>-0,00038573930731092-0,000283101281548269i</v>
      </c>
      <c r="BF536" s="37">
        <f t="shared" si="520"/>
        <v>-66.402761422362261</v>
      </c>
      <c r="BG536" s="60">
        <f t="shared" si="521"/>
        <v>-143.72435918977544</v>
      </c>
      <c r="BH536" s="58" t="str">
        <f t="shared" si="522"/>
        <v>0,0853650218473969+0,00441080074719266i</v>
      </c>
      <c r="BI536" s="37">
        <f t="shared" si="523"/>
        <v>-21.362821640220698</v>
      </c>
      <c r="BJ536" s="60">
        <f t="shared" si="524"/>
        <v>2.9578358788982855</v>
      </c>
      <c r="BK536">
        <f t="shared" si="525"/>
        <v>-66.402761422362261</v>
      </c>
      <c r="BL536" s="60">
        <f t="shared" si="526"/>
        <v>-143.72435918977544</v>
      </c>
      <c r="BN536">
        <f t="shared" si="527"/>
        <v>0</v>
      </c>
      <c r="BO536">
        <f t="shared" si="528"/>
        <v>0</v>
      </c>
    </row>
    <row r="537" spans="13:67" x14ac:dyDescent="0.25">
      <c r="M537" s="66">
        <v>19</v>
      </c>
      <c r="N537" s="36">
        <f t="shared" si="476"/>
        <v>1548816.6189124861</v>
      </c>
      <c r="O537" s="91" t="str">
        <f t="shared" si="477"/>
        <v>13,7404580152672</v>
      </c>
      <c r="P537" s="67" t="str">
        <f t="shared" si="478"/>
        <v>1+10510,0219693438i</v>
      </c>
      <c r="Q537" s="67">
        <f t="shared" si="489"/>
        <v>10510.022016917437</v>
      </c>
      <c r="R537" s="67">
        <f t="shared" si="490"/>
        <v>1.5707011795154808</v>
      </c>
      <c r="S537" s="67" t="str">
        <f t="shared" si="479"/>
        <v>1+291,945054703995i</v>
      </c>
      <c r="T537" s="67">
        <f t="shared" si="491"/>
        <v>291.94676735000621</v>
      </c>
      <c r="U537" s="67">
        <f t="shared" si="492"/>
        <v>1.5673710381215078</v>
      </c>
      <c r="V537" t="str">
        <f t="shared" si="480"/>
        <v>1-60,8218863966656i</v>
      </c>
      <c r="W537" s="67">
        <f t="shared" si="493"/>
        <v>60.830106566147784</v>
      </c>
      <c r="X537" s="67">
        <f t="shared" si="494"/>
        <v>-1.5543563581132487</v>
      </c>
      <c r="Y537" t="str">
        <f t="shared" si="481"/>
        <v>-152,525306817249+105,536032497746i</v>
      </c>
      <c r="Z537" s="67">
        <f t="shared" si="495"/>
        <v>185.47728533451541</v>
      </c>
      <c r="AA537" s="67">
        <f t="shared" si="496"/>
        <v>2.5363069155361204</v>
      </c>
      <c r="AB537" s="92" t="str">
        <f t="shared" si="497"/>
        <v>-0,0725694490290011+0,101996497875406i</v>
      </c>
      <c r="AC537" s="37">
        <f t="shared" si="498"/>
        <v>-18.049417983578262</v>
      </c>
      <c r="AD537" s="60">
        <f t="shared" si="499"/>
        <v>125.4314559636658</v>
      </c>
      <c r="AE537" t="str">
        <f t="shared" si="500"/>
        <v>21,0353732052265</v>
      </c>
      <c r="AF537" t="str">
        <f t="shared" si="482"/>
        <v>1+5255,01098467192i</v>
      </c>
      <c r="AG537">
        <f t="shared" si="501"/>
        <v>5255.011079819199</v>
      </c>
      <c r="AH537">
        <f t="shared" si="502"/>
        <v>1.5706060322377879</v>
      </c>
      <c r="AI537" t="str">
        <f t="shared" si="483"/>
        <v>1+291,945054703995i</v>
      </c>
      <c r="AJ537">
        <f t="shared" si="503"/>
        <v>291.94676735000621</v>
      </c>
      <c r="AK537">
        <f t="shared" si="504"/>
        <v>1.5673710381215078</v>
      </c>
      <c r="AL537" t="str">
        <f t="shared" si="484"/>
        <v>1-19,8643449153808i</v>
      </c>
      <c r="AM537">
        <f t="shared" si="505"/>
        <v>19.889499715106336</v>
      </c>
      <c r="AN537">
        <f t="shared" si="506"/>
        <v>-1.5204973346838935</v>
      </c>
      <c r="AO537" s="58" t="str">
        <f t="shared" si="507"/>
        <v>1,09353475948471-23,2179008662706i</v>
      </c>
      <c r="AP537">
        <f t="shared" si="508"/>
        <v>27.326082313664138</v>
      </c>
      <c r="AQ537" s="60">
        <f t="shared" si="509"/>
        <v>-87.303431547890199</v>
      </c>
      <c r="AR537" t="str">
        <f t="shared" si="485"/>
        <v>-1,05811623246493</v>
      </c>
      <c r="AS537" t="str">
        <f t="shared" si="486"/>
        <v>1+287,741045916258i</v>
      </c>
      <c r="AT537">
        <f t="shared" si="510"/>
        <v>287.74278358454461</v>
      </c>
      <c r="AU537">
        <f t="shared" si="511"/>
        <v>1.5673209937195181</v>
      </c>
      <c r="AV537" t="str">
        <f t="shared" si="487"/>
        <v>1+287,741045916258i</v>
      </c>
      <c r="AW537">
        <f t="shared" si="512"/>
        <v>287.74278358454461</v>
      </c>
      <c r="AX537">
        <f t="shared" si="513"/>
        <v>1.5673209937195181</v>
      </c>
      <c r="AY537" t="str">
        <f t="shared" si="488"/>
        <v>1-0,0000884633798889908i</v>
      </c>
      <c r="AZ537">
        <f t="shared" si="514"/>
        <v>1.0000000039128847</v>
      </c>
      <c r="BA537">
        <f t="shared" si="515"/>
        <v>-8.8463379658226118E-5</v>
      </c>
      <c r="BB537" s="58" t="str">
        <f t="shared" si="516"/>
        <v>-0,0000124545085728832+0,00367727786137366i</v>
      </c>
      <c r="BC537">
        <f t="shared" si="517"/>
        <v>-48.689421239699733</v>
      </c>
      <c r="BD537" s="60">
        <f t="shared" si="518"/>
        <v>90.194053339325521</v>
      </c>
      <c r="BE537" s="58" t="str">
        <f t="shared" si="519"/>
        <v>-0,000374165646749815-0,000268128344583623i</v>
      </c>
      <c r="BF537" s="37">
        <f t="shared" si="520"/>
        <v>-66.738839223278006</v>
      </c>
      <c r="BG537" s="60">
        <f t="shared" si="521"/>
        <v>-144.3744906970087</v>
      </c>
      <c r="BH537" s="58" t="str">
        <f t="shared" si="522"/>
        <v>0,0853650534050684+0,00431039870707901i</v>
      </c>
      <c r="BI537" s="37">
        <f t="shared" si="523"/>
        <v>-21.363338926035599</v>
      </c>
      <c r="BJ537" s="60">
        <f t="shared" si="524"/>
        <v>2.8906217914353416</v>
      </c>
      <c r="BK537">
        <f t="shared" si="525"/>
        <v>-66.738839223278006</v>
      </c>
      <c r="BL537" s="60">
        <f t="shared" si="526"/>
        <v>-144.3744906970087</v>
      </c>
      <c r="BN537">
        <f t="shared" si="527"/>
        <v>0</v>
      </c>
      <c r="BO537">
        <f t="shared" si="528"/>
        <v>0</v>
      </c>
    </row>
    <row r="538" spans="13:67" x14ac:dyDescent="0.25">
      <c r="M538" s="66">
        <v>20</v>
      </c>
      <c r="N538" s="36">
        <f t="shared" si="476"/>
        <v>1584893.1924611153</v>
      </c>
      <c r="O538" s="91" t="str">
        <f t="shared" si="477"/>
        <v>13,7404580152672</v>
      </c>
      <c r="P538" s="67" t="str">
        <f t="shared" si="478"/>
        <v>1+10754,8318299463i</v>
      </c>
      <c r="Q538" s="67">
        <f t="shared" si="489"/>
        <v>10754.831876437031</v>
      </c>
      <c r="R538" s="67">
        <f t="shared" si="490"/>
        <v>1.5707033453319663</v>
      </c>
      <c r="S538" s="67" t="str">
        <f t="shared" si="479"/>
        <v>1+298,745328609619i</v>
      </c>
      <c r="T538" s="67">
        <f t="shared" si="491"/>
        <v>298.74700227126834</v>
      </c>
      <c r="U538" s="67">
        <f t="shared" si="492"/>
        <v>1.5674490066215554</v>
      </c>
      <c r="V538" t="str">
        <f t="shared" si="480"/>
        <v>1-62,2386101270039i</v>
      </c>
      <c r="W538" s="67">
        <f t="shared" si="493"/>
        <v>62.246643207013122</v>
      </c>
      <c r="X538" s="67">
        <f t="shared" si="494"/>
        <v>-1.5547305123481869</v>
      </c>
      <c r="Y538" t="str">
        <f t="shared" si="481"/>
        <v>-159,760731616614+107,994282488057i</v>
      </c>
      <c r="Z538" s="67">
        <f t="shared" si="495"/>
        <v>192.83738334873254</v>
      </c>
      <c r="AA538" s="67">
        <f t="shared" si="496"/>
        <v>2.5471733800798706</v>
      </c>
      <c r="AB538" s="92" t="str">
        <f t="shared" si="497"/>
        <v>-0,0702998105295748+0,101179221271508i</v>
      </c>
      <c r="AC538" s="37">
        <f t="shared" si="498"/>
        <v>-18.187483077976179</v>
      </c>
      <c r="AD538" s="60">
        <f t="shared" si="499"/>
        <v>124.79175912237518</v>
      </c>
      <c r="AE538" t="str">
        <f t="shared" si="500"/>
        <v>21,0353732052265</v>
      </c>
      <c r="AF538" t="str">
        <f t="shared" si="482"/>
        <v>1+5377,41591497315i</v>
      </c>
      <c r="AG538">
        <f t="shared" si="501"/>
        <v>5377.4160079546127</v>
      </c>
      <c r="AH538">
        <f t="shared" si="502"/>
        <v>1.5706103638706437</v>
      </c>
      <c r="AI538" t="str">
        <f t="shared" si="483"/>
        <v>1+298,745328609619i</v>
      </c>
      <c r="AJ538">
        <f t="shared" si="503"/>
        <v>298.74700227126834</v>
      </c>
      <c r="AK538">
        <f t="shared" si="504"/>
        <v>1.5674490066215554</v>
      </c>
      <c r="AL538" t="str">
        <f t="shared" si="484"/>
        <v>1-20,327044948157i</v>
      </c>
      <c r="AM538">
        <f t="shared" si="505"/>
        <v>20.351627854409951</v>
      </c>
      <c r="AN538">
        <f t="shared" si="506"/>
        <v>-1.5216404146489229</v>
      </c>
      <c r="AO538" s="58" t="str">
        <f t="shared" si="507"/>
        <v>1,09353472698331-23,7585404784132i</v>
      </c>
      <c r="AP538">
        <f t="shared" si="508"/>
        <v>27.525585892733595</v>
      </c>
      <c r="AQ538" s="60">
        <f t="shared" si="509"/>
        <v>-87.364706123825698</v>
      </c>
      <c r="AR538" t="str">
        <f t="shared" si="485"/>
        <v>-1,05811623246493</v>
      </c>
      <c r="AS538" t="str">
        <f t="shared" si="486"/>
        <v>1+294,443395877641i</v>
      </c>
      <c r="AT538">
        <f t="shared" si="510"/>
        <v>294.44509399199916</v>
      </c>
      <c r="AU538">
        <f t="shared" si="511"/>
        <v>1.5674001013430268</v>
      </c>
      <c r="AV538" t="str">
        <f t="shared" si="487"/>
        <v>1+294,443395877641i</v>
      </c>
      <c r="AW538">
        <f t="shared" si="512"/>
        <v>294.44509399199916</v>
      </c>
      <c r="AX538">
        <f t="shared" si="513"/>
        <v>1.5674001013430268</v>
      </c>
      <c r="AY538" t="str">
        <f t="shared" si="488"/>
        <v>1-0,0000864497075190757i</v>
      </c>
      <c r="AZ538">
        <f t="shared" si="514"/>
        <v>1.000000003736776</v>
      </c>
      <c r="BA538">
        <f t="shared" si="515"/>
        <v>-8.6449707303713576E-5</v>
      </c>
      <c r="BB538" s="58" t="str">
        <f t="shared" si="516"/>
        <v>-0,0000118939698151423+0,00359357470165444i</v>
      </c>
      <c r="BC538">
        <f t="shared" si="517"/>
        <v>-48.889418880427151</v>
      </c>
      <c r="BD538" s="60">
        <f t="shared" si="518"/>
        <v>90.189636181298397</v>
      </c>
      <c r="BE538" s="58" t="str">
        <f t="shared" si="519"/>
        <v>-0,000362758946069939-0,000253831043253903i</v>
      </c>
      <c r="BF538" s="37">
        <f t="shared" si="520"/>
        <v>-67.07690195840334</v>
      </c>
      <c r="BG538" s="60">
        <f t="shared" si="521"/>
        <v>-145.01860469632643</v>
      </c>
      <c r="BH538" s="58" t="str">
        <f t="shared" si="522"/>
        <v>0,0853650835424241+0,0042122820935699i</v>
      </c>
      <c r="BI538" s="37">
        <f t="shared" si="523"/>
        <v>-21.363832987693559</v>
      </c>
      <c r="BJ538" s="60">
        <f t="shared" si="524"/>
        <v>2.8249300574727028</v>
      </c>
      <c r="BK538">
        <f t="shared" si="525"/>
        <v>-67.07690195840334</v>
      </c>
      <c r="BL538" s="60">
        <f t="shared" si="526"/>
        <v>-145.01860469632643</v>
      </c>
      <c r="BN538">
        <f t="shared" si="527"/>
        <v>0</v>
      </c>
      <c r="BO538">
        <f t="shared" si="528"/>
        <v>0</v>
      </c>
    </row>
    <row r="539" spans="13:67" x14ac:dyDescent="0.25">
      <c r="M539" s="66">
        <v>21</v>
      </c>
      <c r="N539" s="36">
        <f t="shared" si="476"/>
        <v>1621810.0973589318</v>
      </c>
      <c r="O539" s="91" t="str">
        <f t="shared" si="477"/>
        <v>13,7404580152672</v>
      </c>
      <c r="P539" s="67" t="str">
        <f t="shared" si="478"/>
        <v>1+11005,344044742i</v>
      </c>
      <c r="Q539" s="67">
        <f t="shared" si="489"/>
        <v>11005.344090174474</v>
      </c>
      <c r="R539" s="67">
        <f t="shared" si="490"/>
        <v>1.5707054618484504</v>
      </c>
      <c r="S539" s="67" t="str">
        <f t="shared" si="479"/>
        <v>1+305,704001242833i</v>
      </c>
      <c r="T539" s="67">
        <f t="shared" si="491"/>
        <v>305.70563680749831</v>
      </c>
      <c r="U539" s="67">
        <f t="shared" si="492"/>
        <v>1.5675252003811893</v>
      </c>
      <c r="V539" t="str">
        <f t="shared" si="480"/>
        <v>1-63,6883335922569i</v>
      </c>
      <c r="W539" s="67">
        <f t="shared" si="493"/>
        <v>63.69618383983925</v>
      </c>
      <c r="X539" s="67">
        <f t="shared" si="494"/>
        <v>-1.5550961541398713</v>
      </c>
      <c r="Y539" t="str">
        <f t="shared" si="481"/>
        <v>-167,337151481304+110,509792476417i</v>
      </c>
      <c r="Z539" s="67">
        <f t="shared" si="495"/>
        <v>200.53462668341754</v>
      </c>
      <c r="AA539" s="67">
        <f t="shared" si="496"/>
        <v>2.5579396637225198</v>
      </c>
      <c r="AB539" s="92" t="str">
        <f t="shared" si="497"/>
        <v>-0,0680705301976853+0,100320131104213i</v>
      </c>
      <c r="AC539" s="37">
        <f t="shared" si="498"/>
        <v>-18.327498594647594</v>
      </c>
      <c r="AD539" s="60">
        <f t="shared" si="499"/>
        <v>124.15819109052407</v>
      </c>
      <c r="AE539" t="str">
        <f t="shared" si="500"/>
        <v>21,0353732052265</v>
      </c>
      <c r="AF539" t="str">
        <f t="shared" si="482"/>
        <v>1+5502,672022371i</v>
      </c>
      <c r="AG539">
        <f t="shared" si="501"/>
        <v>5502.6721132359453</v>
      </c>
      <c r="AH539">
        <f t="shared" si="502"/>
        <v>1.5706145969035046</v>
      </c>
      <c r="AI539" t="str">
        <f t="shared" si="483"/>
        <v>1+305,704001242833i</v>
      </c>
      <c r="AJ539">
        <f t="shared" si="503"/>
        <v>305.70563680749831</v>
      </c>
      <c r="AK539">
        <f t="shared" si="504"/>
        <v>1.5675252003811893</v>
      </c>
      <c r="AL539" t="str">
        <f t="shared" si="484"/>
        <v>1-20,8005226492249i</v>
      </c>
      <c r="AM539">
        <f t="shared" si="505"/>
        <v>20.824546633262347</v>
      </c>
      <c r="AN539">
        <f t="shared" si="506"/>
        <v>-1.5227575991775619</v>
      </c>
      <c r="AO539" s="58" t="str">
        <f t="shared" si="507"/>
        <v>1,09353469594472-24,3117771831981i</v>
      </c>
      <c r="AP539">
        <f t="shared" si="508"/>
        <v>27.725111761935004</v>
      </c>
      <c r="AQ539" s="60">
        <f t="shared" si="509"/>
        <v>-87.424593036319237</v>
      </c>
      <c r="AR539" t="str">
        <f t="shared" si="485"/>
        <v>-1,05811623246493</v>
      </c>
      <c r="AS539" t="str">
        <f t="shared" si="486"/>
        <v>1+301,301863624936i</v>
      </c>
      <c r="AT539">
        <f t="shared" si="510"/>
        <v>301.30352308570758</v>
      </c>
      <c r="AU539">
        <f t="shared" si="511"/>
        <v>1.5674774082982552</v>
      </c>
      <c r="AV539" t="str">
        <f t="shared" si="487"/>
        <v>1+301,301863624936i</v>
      </c>
      <c r="AW539">
        <f t="shared" si="512"/>
        <v>301.30352308570758</v>
      </c>
      <c r="AX539">
        <f t="shared" si="513"/>
        <v>1.5674774082982552</v>
      </c>
      <c r="AY539" t="str">
        <f t="shared" si="488"/>
        <v>1-0,0000844818719283845i</v>
      </c>
      <c r="AZ539">
        <f t="shared" si="514"/>
        <v>1.0000000035685932</v>
      </c>
      <c r="BA539">
        <f t="shared" si="515"/>
        <v>-8.4481871727396871E-5</v>
      </c>
      <c r="BB539" s="58" t="str">
        <f t="shared" si="516"/>
        <v>-0,0000113586588884347+0,00351177673140178i</v>
      </c>
      <c r="BC539">
        <f t="shared" si="517"/>
        <v>-49.089416627338061</v>
      </c>
      <c r="BD539" s="60">
        <f t="shared" si="518"/>
        <v>90.18531956771011</v>
      </c>
      <c r="BE539" s="58" t="str">
        <f t="shared" si="519"/>
        <v>-0,000351528712170081-0,000240188006191269i</v>
      </c>
      <c r="BF539" s="37">
        <f t="shared" si="520"/>
        <v>-67.416915221985661</v>
      </c>
      <c r="BG539" s="60">
        <f t="shared" si="521"/>
        <v>-145.65648934176588</v>
      </c>
      <c r="BH539" s="58" t="str">
        <f t="shared" si="522"/>
        <v>0,0853651123233859+0,00411639888419477i</v>
      </c>
      <c r="BI539" s="37">
        <f t="shared" si="523"/>
        <v>-21.364304865403057</v>
      </c>
      <c r="BJ539" s="60">
        <f t="shared" si="524"/>
        <v>2.7607265313908744</v>
      </c>
      <c r="BK539">
        <f t="shared" si="525"/>
        <v>-67.416915221985661</v>
      </c>
      <c r="BL539" s="60">
        <f t="shared" si="526"/>
        <v>-145.65648934176588</v>
      </c>
      <c r="BN539">
        <f t="shared" si="527"/>
        <v>0</v>
      </c>
      <c r="BO539">
        <f t="shared" si="528"/>
        <v>0</v>
      </c>
    </row>
    <row r="540" spans="13:67" x14ac:dyDescent="0.25">
      <c r="M540" s="66">
        <v>22</v>
      </c>
      <c r="N540" s="36">
        <f t="shared" si="476"/>
        <v>1659586.9074375622</v>
      </c>
      <c r="O540" s="91" t="str">
        <f t="shared" si="477"/>
        <v>13,7404580152672</v>
      </c>
      <c r="P540" s="67" t="str">
        <f t="shared" si="478"/>
        <v>1+11261,6914386232i</v>
      </c>
      <c r="Q540" s="67">
        <f t="shared" si="489"/>
        <v>11261.691483021505</v>
      </c>
      <c r="R540" s="67">
        <f t="shared" si="490"/>
        <v>1.5707075301871383</v>
      </c>
      <c r="S540" s="67" t="str">
        <f t="shared" si="479"/>
        <v>1+312,824762183979i</v>
      </c>
      <c r="T540" s="67">
        <f t="shared" si="491"/>
        <v>312.82636051883958</v>
      </c>
      <c r="U540" s="67">
        <f t="shared" si="492"/>
        <v>1.5675996597958086</v>
      </c>
      <c r="V540" t="str">
        <f t="shared" si="480"/>
        <v>1-65,1718254549956i</v>
      </c>
      <c r="W540" s="67">
        <f t="shared" si="493"/>
        <v>65.179497030403752</v>
      </c>
      <c r="X540" s="67">
        <f t="shared" si="494"/>
        <v>-1.5554534769651227</v>
      </c>
      <c r="Y540" t="str">
        <f t="shared" si="481"/>
        <v>-175,270637013643+113,083896219518i</v>
      </c>
      <c r="Z540" s="67">
        <f t="shared" si="495"/>
        <v>208.58514756174498</v>
      </c>
      <c r="AA540" s="67">
        <f t="shared" si="496"/>
        <v>2.568602073939751</v>
      </c>
      <c r="AB540" s="92" t="str">
        <f t="shared" si="497"/>
        <v>-0,0658828425757068+0,0994213713340102i</v>
      </c>
      <c r="AC540" s="37">
        <f t="shared" si="498"/>
        <v>-18.469429004352435</v>
      </c>
      <c r="AD540" s="60">
        <f t="shared" si="499"/>
        <v>123.53095459895418</v>
      </c>
      <c r="AE540" t="str">
        <f t="shared" si="500"/>
        <v>21,0353732052265</v>
      </c>
      <c r="AF540" t="str">
        <f t="shared" si="482"/>
        <v>1+5630,84571931163i</v>
      </c>
      <c r="AG540">
        <f t="shared" si="501"/>
        <v>5630.8458081082381</v>
      </c>
      <c r="AH540">
        <f t="shared" si="502"/>
        <v>1.5706187335807802</v>
      </c>
      <c r="AI540" t="str">
        <f t="shared" si="483"/>
        <v>1+312,824762183979i</v>
      </c>
      <c r="AJ540">
        <f t="shared" si="503"/>
        <v>312.82636051883958</v>
      </c>
      <c r="AK540">
        <f t="shared" si="504"/>
        <v>1.5675996597958086</v>
      </c>
      <c r="AL540" t="str">
        <f t="shared" si="484"/>
        <v>1-21,285029062729i</v>
      </c>
      <c r="AM540">
        <f t="shared" si="505"/>
        <v>21.308506803650463</v>
      </c>
      <c r="AN540">
        <f t="shared" si="506"/>
        <v>-1.5238494694546216</v>
      </c>
      <c r="AO540" s="58" t="str">
        <f t="shared" si="507"/>
        <v>1,0935346663031-24,8779043140496i</v>
      </c>
      <c r="AP540">
        <f t="shared" si="508"/>
        <v>27.924658922655503</v>
      </c>
      <c r="AQ540" s="60">
        <f t="shared" si="509"/>
        <v>-87.483123398916916</v>
      </c>
      <c r="AR540" t="str">
        <f t="shared" si="485"/>
        <v>-1,05811623246493</v>
      </c>
      <c r="AS540" t="str">
        <f t="shared" si="486"/>
        <v>1+308,32008560853i</v>
      </c>
      <c r="AT540">
        <f t="shared" si="510"/>
        <v>308.32170729556367</v>
      </c>
      <c r="AU540">
        <f t="shared" si="511"/>
        <v>1.5675529555706762</v>
      </c>
      <c r="AV540" t="str">
        <f t="shared" si="487"/>
        <v>1+308,32008560853i</v>
      </c>
      <c r="AW540">
        <f t="shared" si="512"/>
        <v>308.32170729556367</v>
      </c>
      <c r="AX540">
        <f t="shared" si="513"/>
        <v>1.5675529555706762</v>
      </c>
      <c r="AY540" t="str">
        <f t="shared" si="488"/>
        <v>1-0,0000825588297444389i</v>
      </c>
      <c r="AZ540">
        <f t="shared" si="514"/>
        <v>1.0000000034079801</v>
      </c>
      <c r="BA540">
        <f t="shared" si="515"/>
        <v>-8.2558829556866333E-5</v>
      </c>
      <c r="BB540" s="58" t="str">
        <f t="shared" si="516"/>
        <v>-0,0000108474404033801+0,00343184059168947i</v>
      </c>
      <c r="BC540">
        <f t="shared" si="517"/>
        <v>-49.289414475653722</v>
      </c>
      <c r="BD540" s="60">
        <f t="shared" si="518"/>
        <v>90.181101210046862</v>
      </c>
      <c r="BE540" s="58" t="str">
        <f t="shared" si="519"/>
        <v>-0,000340483637617043-0,000227177880847566i</v>
      </c>
      <c r="BF540" s="37">
        <f t="shared" si="520"/>
        <v>-67.758843480006149</v>
      </c>
      <c r="BG540" s="60">
        <f t="shared" si="521"/>
        <v>-146.28794419099896</v>
      </c>
      <c r="BH540" s="58" t="str">
        <f t="shared" si="522"/>
        <v>0,0853651398090002+0,00402269824064622i</v>
      </c>
      <c r="BI540" s="37">
        <f t="shared" si="523"/>
        <v>-21.364755552998229</v>
      </c>
      <c r="BJ540" s="60">
        <f t="shared" si="524"/>
        <v>2.6979778111299519</v>
      </c>
      <c r="BK540">
        <f t="shared" si="525"/>
        <v>-67.758843480006149</v>
      </c>
      <c r="BL540" s="60">
        <f t="shared" si="526"/>
        <v>-146.28794419099896</v>
      </c>
      <c r="BN540">
        <f t="shared" si="527"/>
        <v>0</v>
      </c>
      <c r="BO540">
        <f t="shared" si="528"/>
        <v>0</v>
      </c>
    </row>
    <row r="541" spans="13:67" x14ac:dyDescent="0.25">
      <c r="M541" s="66">
        <v>23</v>
      </c>
      <c r="N541" s="36">
        <f t="shared" si="476"/>
        <v>1698243.6524617488</v>
      </c>
      <c r="O541" s="91" t="str">
        <f t="shared" si="477"/>
        <v>13,7404580152672</v>
      </c>
      <c r="P541" s="67" t="str">
        <f t="shared" si="478"/>
        <v>1+11524,0099303714i</v>
      </c>
      <c r="Q541" s="67">
        <f t="shared" si="489"/>
        <v>11524.009973759075</v>
      </c>
      <c r="R541" s="67">
        <f t="shared" si="490"/>
        <v>1.5707095514446903</v>
      </c>
      <c r="S541" s="67" t="str">
        <f t="shared" si="479"/>
        <v>1+320,111386954761i</v>
      </c>
      <c r="T541" s="67">
        <f t="shared" si="491"/>
        <v>320.11294890725787</v>
      </c>
      <c r="U541" s="67">
        <f t="shared" si="492"/>
        <v>1.5676724243414766</v>
      </c>
      <c r="V541" t="str">
        <f t="shared" si="480"/>
        <v>1-66,6898722822419i</v>
      </c>
      <c r="W541" s="67">
        <f t="shared" si="493"/>
        <v>66.69736925113115</v>
      </c>
      <c r="X541" s="67">
        <f t="shared" si="494"/>
        <v>-1.5558026699160403</v>
      </c>
      <c r="Y541" t="str">
        <f t="shared" si="481"/>
        <v>-183,578016200105+115,717958541238i</v>
      </c>
      <c r="Z541" s="67">
        <f t="shared" si="495"/>
        <v>217.00583854108092</v>
      </c>
      <c r="AA541" s="67">
        <f t="shared" si="496"/>
        <v>2.5791571251773795</v>
      </c>
      <c r="AB541" s="92" t="str">
        <f t="shared" si="497"/>
        <v>-0,0637378498673816+0,0984851135931898i</v>
      </c>
      <c r="AC541" s="37">
        <f t="shared" si="498"/>
        <v>-18.613237764226508</v>
      </c>
      <c r="AD541" s="60">
        <f t="shared" si="499"/>
        <v>122.91024072000835</v>
      </c>
      <c r="AE541" t="str">
        <f t="shared" si="500"/>
        <v>21,0353732052265</v>
      </c>
      <c r="AF541" t="str">
        <f t="shared" si="482"/>
        <v>1+5762,0049651857i</v>
      </c>
      <c r="AG541">
        <f t="shared" si="501"/>
        <v>5762.0050519610486</v>
      </c>
      <c r="AH541">
        <f t="shared" si="502"/>
        <v>1.5706227760957907</v>
      </c>
      <c r="AI541" t="str">
        <f t="shared" si="483"/>
        <v>1+320,111386954761i</v>
      </c>
      <c r="AJ541">
        <f t="shared" si="503"/>
        <v>320.11294890725787</v>
      </c>
      <c r="AK541">
        <f t="shared" si="504"/>
        <v>1.5676724243414766</v>
      </c>
      <c r="AL541" t="str">
        <f t="shared" si="484"/>
        <v>1-21,7808210803829i</v>
      </c>
      <c r="AM541">
        <f t="shared" si="505"/>
        <v>21.803764971574338</v>
      </c>
      <c r="AN541">
        <f t="shared" si="506"/>
        <v>-1.5249165939846017</v>
      </c>
      <c r="AO541" s="58" t="str">
        <f t="shared" si="507"/>
        <v>1,09353463799557-25,4572220390662i</v>
      </c>
      <c r="AP541">
        <f t="shared" si="508"/>
        <v>28.124226420822932</v>
      </c>
      <c r="AQ541" s="60">
        <f t="shared" si="509"/>
        <v>-87.540327648383439</v>
      </c>
      <c r="AR541" t="str">
        <f t="shared" si="485"/>
        <v>-1,05811623246493</v>
      </c>
      <c r="AS541" t="str">
        <f t="shared" si="486"/>
        <v>1+315,501782982613i</v>
      </c>
      <c r="AT541">
        <f t="shared" si="510"/>
        <v>315.50336775573066</v>
      </c>
      <c r="AU541">
        <f t="shared" si="511"/>
        <v>1.5676267832130018</v>
      </c>
      <c r="AV541" t="str">
        <f t="shared" si="487"/>
        <v>1+315,501782982613i</v>
      </c>
      <c r="AW541">
        <f t="shared" si="512"/>
        <v>315.50336775573066</v>
      </c>
      <c r="AX541">
        <f t="shared" si="513"/>
        <v>1.5676267832130018</v>
      </c>
      <c r="AY541" t="str">
        <f t="shared" si="488"/>
        <v>1-0,000080679561344819i</v>
      </c>
      <c r="AZ541">
        <f t="shared" si="514"/>
        <v>1.0000000032545957</v>
      </c>
      <c r="BA541">
        <f t="shared" si="515"/>
        <v>-8.0679561169766083E-5</v>
      </c>
      <c r="BB541" s="58" t="str">
        <f t="shared" si="516"/>
        <v>-0,0000103592300671343+0,00335372390999506i</v>
      </c>
      <c r="BC541">
        <f t="shared" si="517"/>
        <v>-49.489412420810133</v>
      </c>
      <c r="BD541" s="60">
        <f t="shared" si="518"/>
        <v>90.176978871877353</v>
      </c>
      <c r="BE541" s="58" t="str">
        <f t="shared" si="519"/>
        <v>-0,000329631605185299-0,000214779381021813i</v>
      </c>
      <c r="BF541" s="37">
        <f t="shared" si="520"/>
        <v>-68.102650185036651</v>
      </c>
      <c r="BG541" s="60">
        <f t="shared" si="521"/>
        <v>-146.91278040811426</v>
      </c>
      <c r="BH541" s="58" t="str">
        <f t="shared" si="522"/>
        <v>0,0853651660575681+0,00393113048182634i</v>
      </c>
      <c r="BI541" s="37">
        <f t="shared" si="523"/>
        <v>-21.365185999987212</v>
      </c>
      <c r="BJ541" s="60">
        <f t="shared" si="524"/>
        <v>2.636651223493923</v>
      </c>
      <c r="BK541">
        <f t="shared" si="525"/>
        <v>-68.102650185036651</v>
      </c>
      <c r="BL541" s="60">
        <f t="shared" si="526"/>
        <v>-146.91278040811426</v>
      </c>
      <c r="BN541">
        <f t="shared" si="527"/>
        <v>0</v>
      </c>
      <c r="BO541">
        <f t="shared" si="528"/>
        <v>0</v>
      </c>
    </row>
    <row r="542" spans="13:67" x14ac:dyDescent="0.25">
      <c r="M542" s="66">
        <v>24</v>
      </c>
      <c r="N542" s="36">
        <f t="shared" si="476"/>
        <v>1737800.8287493798</v>
      </c>
      <c r="O542" s="91" t="str">
        <f t="shared" si="477"/>
        <v>13,7404580152672</v>
      </c>
      <c r="P542" s="67" t="str">
        <f t="shared" si="478"/>
        <v>1+11792,4386047228i</v>
      </c>
      <c r="Q542" s="67">
        <f t="shared" si="489"/>
        <v>11792.43864712285</v>
      </c>
      <c r="R542" s="67">
        <f t="shared" si="490"/>
        <v>1.5707115266928038</v>
      </c>
      <c r="S542" s="67" t="str">
        <f t="shared" si="479"/>
        <v>1+327,567739020078i</v>
      </c>
      <c r="T542" s="67">
        <f t="shared" si="491"/>
        <v>327.56926541836299</v>
      </c>
      <c r="U542" s="67">
        <f t="shared" si="492"/>
        <v>1.5677435325958338</v>
      </c>
      <c r="V542" t="str">
        <f t="shared" si="480"/>
        <v>1-68,2432789625162i</v>
      </c>
      <c r="W542" s="67">
        <f t="shared" si="493"/>
        <v>68.250605298091003</v>
      </c>
      <c r="X542" s="67">
        <f t="shared" si="494"/>
        <v>-1.5561439177985208</v>
      </c>
      <c r="Y542" t="str">
        <f t="shared" si="481"/>
        <v>-192,27691010573+118,413376056283i</v>
      </c>
      <c r="Z542" s="67">
        <f t="shared" si="495"/>
        <v>225.8143879137325</v>
      </c>
      <c r="AA542" s="67">
        <f t="shared" si="496"/>
        <v>2.5896015413379772</v>
      </c>
      <c r="AB542" s="92" t="str">
        <f t="shared" si="497"/>
        <v>-0,0616365227763328+0,0975135478305396i</v>
      </c>
      <c r="AC542" s="37">
        <f t="shared" si="498"/>
        <v>-18.758887432250152</v>
      </c>
      <c r="AD542" s="60">
        <f t="shared" si="499"/>
        <v>122.29622872057692</v>
      </c>
      <c r="AE542" t="str">
        <f t="shared" si="500"/>
        <v>21,0353732052265</v>
      </c>
      <c r="AF542" t="str">
        <f t="shared" si="482"/>
        <v>1+5896,21930236141i</v>
      </c>
      <c r="AG542">
        <f t="shared" si="501"/>
        <v>5896.2193871615118</v>
      </c>
      <c r="AH542">
        <f t="shared" si="502"/>
        <v>1.5706267265919307</v>
      </c>
      <c r="AI542" t="str">
        <f t="shared" si="483"/>
        <v>1+327,567739020078i</v>
      </c>
      <c r="AJ542">
        <f t="shared" si="503"/>
        <v>327.56926541836299</v>
      </c>
      <c r="AK542">
        <f t="shared" si="504"/>
        <v>1.5677435325958338</v>
      </c>
      <c r="AL542" t="str">
        <f t="shared" si="484"/>
        <v>1-22,2881615776766i</v>
      </c>
      <c r="AM542">
        <f t="shared" si="505"/>
        <v>22.310583733121359</v>
      </c>
      <c r="AN542">
        <f t="shared" si="506"/>
        <v>-1.5259595288439771</v>
      </c>
      <c r="AO542" s="58" t="str">
        <f t="shared" si="507"/>
        <v>1,09353461096209-26,0500375201732i</v>
      </c>
      <c r="AP542">
        <f t="shared" si="508"/>
        <v>28.323813344936461</v>
      </c>
      <c r="AQ542" s="60">
        <f t="shared" si="509"/>
        <v>-87.596235558025313</v>
      </c>
      <c r="AR542" t="str">
        <f t="shared" si="485"/>
        <v>-1,05811623246493</v>
      </c>
      <c r="AS542" t="str">
        <f t="shared" si="486"/>
        <v>1+322,850763578189i</v>
      </c>
      <c r="AT542">
        <f t="shared" si="510"/>
        <v>322.85231227764143</v>
      </c>
      <c r="AU542">
        <f t="shared" si="511"/>
        <v>1.5676989303664044</v>
      </c>
      <c r="AV542" t="str">
        <f t="shared" si="487"/>
        <v>1+322,850763578189i</v>
      </c>
      <c r="AW542">
        <f t="shared" si="512"/>
        <v>322.85231227764143</v>
      </c>
      <c r="AX542">
        <f t="shared" si="513"/>
        <v>1.5676989303664044</v>
      </c>
      <c r="AY542" t="str">
        <f t="shared" si="488"/>
        <v>1-0,0000788430703165452i</v>
      </c>
      <c r="AZ542">
        <f t="shared" si="514"/>
        <v>1.0000000031081149</v>
      </c>
      <c r="BA542">
        <f t="shared" si="515"/>
        <v>-7.8843070153176322E-5</v>
      </c>
      <c r="BB542" s="58" t="str">
        <f t="shared" si="516"/>
        <v>-9,89299238405355E-06+0,00327738527778421i</v>
      </c>
      <c r="BC542">
        <f t="shared" si="517"/>
        <v>-49.689410458448705</v>
      </c>
      <c r="BD542" s="60">
        <f t="shared" si="518"/>
        <v>90.172950367667866</v>
      </c>
      <c r="BE542" s="58" t="str">
        <f t="shared" si="519"/>
        <v>-0,000318979696393911-0,000202971333106994i</v>
      </c>
      <c r="BF542" s="37">
        <f t="shared" si="520"/>
        <v>-68.448297890698854</v>
      </c>
      <c r="BG542" s="60">
        <f t="shared" si="521"/>
        <v>-147.53082091175517</v>
      </c>
      <c r="BH542" s="58" t="str">
        <f t="shared" si="522"/>
        <v>0,085365191124764+0,00384164705750602i</v>
      </c>
      <c r="BI542" s="37">
        <f t="shared" si="523"/>
        <v>-21.365597113512244</v>
      </c>
      <c r="BJ542" s="60">
        <f t="shared" si="524"/>
        <v>2.5767148096425667</v>
      </c>
      <c r="BK542">
        <f t="shared" si="525"/>
        <v>-68.448297890698854</v>
      </c>
      <c r="BL542" s="60">
        <f t="shared" si="526"/>
        <v>-147.53082091175517</v>
      </c>
      <c r="BN542">
        <f t="shared" si="527"/>
        <v>0</v>
      </c>
      <c r="BO542">
        <f t="shared" si="528"/>
        <v>0</v>
      </c>
    </row>
    <row r="543" spans="13:67" x14ac:dyDescent="0.25">
      <c r="M543" s="66">
        <v>25</v>
      </c>
      <c r="N543" s="36">
        <f t="shared" si="476"/>
        <v>1778279.4100389241</v>
      </c>
      <c r="O543" s="91" t="str">
        <f t="shared" si="477"/>
        <v>13,7404580152672</v>
      </c>
      <c r="P543" s="67" t="str">
        <f t="shared" si="478"/>
        <v>1+12067,1197861138i</v>
      </c>
      <c r="Q543" s="67">
        <f t="shared" si="489"/>
        <v>12067.119827548708</v>
      </c>
      <c r="R543" s="67">
        <f t="shared" si="490"/>
        <v>1.5707134569787817</v>
      </c>
      <c r="S543" s="67" t="str">
        <f t="shared" si="479"/>
        <v>1+335,197771836495i</v>
      </c>
      <c r="T543" s="67">
        <f t="shared" si="491"/>
        <v>335.19926348986951</v>
      </c>
      <c r="U543" s="67">
        <f t="shared" si="492"/>
        <v>1.5678130222585405</v>
      </c>
      <c r="V543" t="str">
        <f t="shared" si="480"/>
        <v>1-69,8328691326031i</v>
      </c>
      <c r="W543" s="67">
        <f t="shared" si="493"/>
        <v>69.8400287177151</v>
      </c>
      <c r="X543" s="67">
        <f t="shared" si="494"/>
        <v>-1.5564774012286191</v>
      </c>
      <c r="Y543" t="str">
        <f t="shared" si="481"/>
        <v>-201,385770250776+121,171577910699i</v>
      </c>
      <c r="Z543" s="67">
        <f t="shared" si="495"/>
        <v>235.02931679445214</v>
      </c>
      <c r="AA543" s="67">
        <f t="shared" si="496"/>
        <v>2.5999322573444061</v>
      </c>
      <c r="AB543" s="92" t="str">
        <f t="shared" si="497"/>
        <v>-0,059579702064786+0,096508873271758i</v>
      </c>
      <c r="AC543" s="37">
        <f t="shared" si="498"/>
        <v>-18.906339780673672</v>
      </c>
      <c r="AD543" s="60">
        <f t="shared" si="499"/>
        <v>121.68908596813117</v>
      </c>
      <c r="AE543" t="str">
        <f t="shared" si="500"/>
        <v>21,0353732052265</v>
      </c>
      <c r="AF543" t="str">
        <f t="shared" si="482"/>
        <v>1+6033,55989305692i</v>
      </c>
      <c r="AG543">
        <f t="shared" si="501"/>
        <v>6033.5599759267361</v>
      </c>
      <c r="AH543">
        <f t="shared" si="502"/>
        <v>1.5706305871638051</v>
      </c>
      <c r="AI543" t="str">
        <f t="shared" si="483"/>
        <v>1+335,197771836495i</v>
      </c>
      <c r="AJ543">
        <f t="shared" si="503"/>
        <v>335.19926348986951</v>
      </c>
      <c r="AK543">
        <f t="shared" si="504"/>
        <v>1.5678130222585405</v>
      </c>
      <c r="AL543" t="str">
        <f t="shared" si="484"/>
        <v>1-22,8073195532575i</v>
      </c>
      <c r="AM543">
        <f t="shared" si="505"/>
        <v>22.829231813716419</v>
      </c>
      <c r="AN543">
        <f t="shared" si="506"/>
        <v>-1.5269788179301402</v>
      </c>
      <c r="AO543" s="58" t="str">
        <f t="shared" si="507"/>
        <v>1,09353458514531-26,6566650759859i</v>
      </c>
      <c r="AP543">
        <f t="shared" si="508"/>
        <v>28.523418824183455</v>
      </c>
      <c r="AQ543" s="60">
        <f t="shared" si="509"/>
        <v>-87.650876250848228</v>
      </c>
      <c r="AR543" t="str">
        <f t="shared" si="485"/>
        <v>-1,05811623246493</v>
      </c>
      <c r="AS543" t="str">
        <f t="shared" si="486"/>
        <v>1+330,37092392205i</v>
      </c>
      <c r="AT543">
        <f t="shared" si="510"/>
        <v>330.37243736896232</v>
      </c>
      <c r="AU543">
        <f t="shared" si="511"/>
        <v>1.5677694352812537</v>
      </c>
      <c r="AV543" t="str">
        <f t="shared" si="487"/>
        <v>1+330,37092392205i</v>
      </c>
      <c r="AW543">
        <f t="shared" si="512"/>
        <v>330.37243736896232</v>
      </c>
      <c r="AX543">
        <f t="shared" si="513"/>
        <v>1.5677694352812537</v>
      </c>
      <c r="AY543" t="str">
        <f t="shared" si="488"/>
        <v>1-0,0000770483829277646i</v>
      </c>
      <c r="AZ543">
        <f t="shared" si="514"/>
        <v>1.0000000029682266</v>
      </c>
      <c r="BA543">
        <f t="shared" si="515"/>
        <v>-7.7048382775299885E-5</v>
      </c>
      <c r="BB543" s="58" t="str">
        <f t="shared" si="516"/>
        <v>-9,44773845981128E-06+0,00320278422860278i</v>
      </c>
      <c r="BC543">
        <f t="shared" si="517"/>
        <v>-49.889408584407306</v>
      </c>
      <c r="BD543" s="60">
        <f t="shared" si="518"/>
        <v>90.169013561624368</v>
      </c>
      <c r="BE543" s="58" t="str">
        <f t="shared" si="519"/>
        <v>-0,000308534203792389-0,000191732720711672i</v>
      </c>
      <c r="BF543" s="37">
        <f t="shared" si="520"/>
        <v>-68.795748365080968</v>
      </c>
      <c r="BG543" s="60">
        <f t="shared" si="521"/>
        <v>-148.14190047024439</v>
      </c>
      <c r="BH543" s="58" t="str">
        <f t="shared" si="522"/>
        <v>0,085365215063757+0,00375420052258378i</v>
      </c>
      <c r="BI543" s="37">
        <f t="shared" si="523"/>
        <v>-21.365989760223844</v>
      </c>
      <c r="BJ543" s="60">
        <f t="shared" si="524"/>
        <v>2.5181373107761456</v>
      </c>
      <c r="BK543">
        <f t="shared" si="525"/>
        <v>-68.795748365080968</v>
      </c>
      <c r="BL543" s="60">
        <f t="shared" si="526"/>
        <v>-148.14190047024439</v>
      </c>
      <c r="BN543">
        <f t="shared" si="527"/>
        <v>0</v>
      </c>
      <c r="BO543">
        <f t="shared" si="528"/>
        <v>0</v>
      </c>
    </row>
    <row r="544" spans="13:67" x14ac:dyDescent="0.25">
      <c r="M544" s="66">
        <v>26</v>
      </c>
      <c r="N544" s="36">
        <f t="shared" si="476"/>
        <v>1819700.8586099846</v>
      </c>
      <c r="O544" s="91" t="str">
        <f t="shared" si="477"/>
        <v>13,7404580152672</v>
      </c>
      <c r="P544" s="67" t="str">
        <f t="shared" si="478"/>
        <v>1+12348,1991141427i</v>
      </c>
      <c r="Q544" s="67">
        <f t="shared" si="489"/>
        <v>12348.199154634436</v>
      </c>
      <c r="R544" s="67">
        <f t="shared" si="490"/>
        <v>1.5707153433260872</v>
      </c>
      <c r="S544" s="67" t="str">
        <f t="shared" si="479"/>
        <v>1+343,005530948409i</v>
      </c>
      <c r="T544" s="67">
        <f t="shared" si="491"/>
        <v>343.0069886477533</v>
      </c>
      <c r="U544" s="67">
        <f t="shared" si="492"/>
        <v>1.5678809301712495</v>
      </c>
      <c r="V544" t="str">
        <f t="shared" si="480"/>
        <v>1-71,4594856142519i</v>
      </c>
      <c r="W544" s="67">
        <f t="shared" si="493"/>
        <v>71.466482243450841</v>
      </c>
      <c r="X544" s="67">
        <f t="shared" si="494"/>
        <v>-1.5568032967267968</v>
      </c>
      <c r="Y544" t="str">
        <f t="shared" si="481"/>
        <v>-210,923917748858+123,99402653962i</v>
      </c>
      <c r="Z544" s="67">
        <f t="shared" si="495"/>
        <v>244.67001797530281</v>
      </c>
      <c r="AA544" s="67">
        <f t="shared" si="496"/>
        <v>2.6101464198147584</v>
      </c>
      <c r="AB544" s="92" t="str">
        <f t="shared" si="497"/>
        <v>-0,0575681007805898+0,0954732897513194i</v>
      </c>
      <c r="AC544" s="37">
        <f t="shared" si="498"/>
        <v>-19.055555907795842</v>
      </c>
      <c r="AD544" s="60">
        <f t="shared" si="499"/>
        <v>121.08896788776555</v>
      </c>
      <c r="AE544" t="str">
        <f t="shared" si="500"/>
        <v>21,0353732052265</v>
      </c>
      <c r="AF544" t="str">
        <f t="shared" si="482"/>
        <v>1+6174,09955707137i</v>
      </c>
      <c r="AG544">
        <f t="shared" si="501"/>
        <v>6174.0996380548386</v>
      </c>
      <c r="AH544">
        <f t="shared" si="502"/>
        <v>1.5706343598583399</v>
      </c>
      <c r="AI544" t="str">
        <f t="shared" si="483"/>
        <v>1+343,005530948409i</v>
      </c>
      <c r="AJ544">
        <f t="shared" si="503"/>
        <v>343.0069886477533</v>
      </c>
      <c r="AK544">
        <f t="shared" si="504"/>
        <v>1.5678809301712495</v>
      </c>
      <c r="AL544" t="str">
        <f t="shared" si="484"/>
        <v>1-23,3385702715563i</v>
      </c>
      <c r="AM544">
        <f t="shared" si="505"/>
        <v>23.359984210619054</v>
      </c>
      <c r="AN544">
        <f t="shared" si="506"/>
        <v>-1.5279749932069084</v>
      </c>
      <c r="AO544" s="58" t="str">
        <f t="shared" si="507"/>
        <v>1,09353456049048-27,2774263484645i</v>
      </c>
      <c r="AP544">
        <f t="shared" si="508"/>
        <v>28.723042026637341</v>
      </c>
      <c r="AQ544" s="60">
        <f t="shared" si="509"/>
        <v>-87.704278212542789</v>
      </c>
      <c r="AR544" t="str">
        <f t="shared" si="485"/>
        <v>-1,05811623246493</v>
      </c>
      <c r="AS544" t="str">
        <f t="shared" si="486"/>
        <v>1+338,066251302752i</v>
      </c>
      <c r="AT544">
        <f t="shared" si="510"/>
        <v>338.06773029955917</v>
      </c>
      <c r="AU544">
        <f t="shared" si="511"/>
        <v>1.567838335337383</v>
      </c>
      <c r="AV544" t="str">
        <f t="shared" si="487"/>
        <v>1+338,066251302752i</v>
      </c>
      <c r="AW544">
        <f t="shared" si="512"/>
        <v>338.06773029955917</v>
      </c>
      <c r="AX544">
        <f t="shared" si="513"/>
        <v>1.567838335337383</v>
      </c>
      <c r="AY544" t="str">
        <f t="shared" si="488"/>
        <v>1-0,0000752945476114676i</v>
      </c>
      <c r="AZ544">
        <f t="shared" si="514"/>
        <v>1.0000000028346343</v>
      </c>
      <c r="BA544">
        <f t="shared" si="515"/>
        <v>-7.5294547469179245E-5</v>
      </c>
      <c r="BB544" s="58" t="str">
        <f t="shared" si="516"/>
        <v>-9,02252390431657E-06+0,00312988121666557i</v>
      </c>
      <c r="BC544">
        <f t="shared" si="517"/>
        <v>-50.089406794710925</v>
      </c>
      <c r="BD544" s="60">
        <f t="shared" si="518"/>
        <v>90.165166366560939</v>
      </c>
      <c r="BE544" s="58" t="str">
        <f t="shared" si="519"/>
        <v>-0,000298300646720505-0,000181042727351284i</v>
      </c>
      <c r="BF544" s="37">
        <f t="shared" si="520"/>
        <v>-69.144962702506774</v>
      </c>
      <c r="BG544" s="60">
        <f t="shared" si="521"/>
        <v>-148.74586574567343</v>
      </c>
      <c r="BH544" s="58" t="str">
        <f t="shared" si="522"/>
        <v>0,0853652379253253+0,00366874451193105i</v>
      </c>
      <c r="BI544" s="37">
        <f t="shared" si="523"/>
        <v>-21.366364768073595</v>
      </c>
      <c r="BJ544" s="60">
        <f t="shared" si="524"/>
        <v>2.4608881540181597</v>
      </c>
      <c r="BK544">
        <f t="shared" si="525"/>
        <v>-69.144962702506774</v>
      </c>
      <c r="BL544" s="60">
        <f t="shared" si="526"/>
        <v>-148.74586574567343</v>
      </c>
      <c r="BN544">
        <f t="shared" si="527"/>
        <v>0</v>
      </c>
      <c r="BO544">
        <f t="shared" si="528"/>
        <v>0</v>
      </c>
    </row>
    <row r="545" spans="13:67" x14ac:dyDescent="0.25">
      <c r="M545" s="66">
        <v>27</v>
      </c>
      <c r="N545" s="36">
        <f t="shared" si="476"/>
        <v>1862087.1366628683</v>
      </c>
      <c r="O545" s="91" t="str">
        <f t="shared" si="477"/>
        <v>13,7404580152672</v>
      </c>
      <c r="P545" s="67" t="str">
        <f t="shared" si="478"/>
        <v>1+12635,8256207897i</v>
      </c>
      <c r="Q545" s="67">
        <f t="shared" si="489"/>
        <v>12635.825660359729</v>
      </c>
      <c r="R545" s="67">
        <f t="shared" si="490"/>
        <v>1.5707171867348861</v>
      </c>
      <c r="S545" s="67" t="str">
        <f t="shared" si="479"/>
        <v>1+350,995156133046i</v>
      </c>
      <c r="T545" s="67">
        <f t="shared" si="491"/>
        <v>350.9965806512385</v>
      </c>
      <c r="U545" s="67">
        <f t="shared" si="492"/>
        <v>1.5679472923371285</v>
      </c>
      <c r="V545" t="str">
        <f t="shared" si="480"/>
        <v>1-73,1239908610513i</v>
      </c>
      <c r="W545" s="67">
        <f t="shared" si="493"/>
        <v>73.130828242589416</v>
      </c>
      <c r="X545" s="67">
        <f t="shared" si="494"/>
        <v>-1.5571217768101009</v>
      </c>
      <c r="Y545" t="str">
        <f t="shared" si="481"/>
        <v>-220,911584289619+126,882218442667i</v>
      </c>
      <c r="Z545" s="67">
        <f t="shared" si="495"/>
        <v>254.75679663216465</v>
      </c>
      <c r="AA545" s="67">
        <f t="shared" si="496"/>
        <v>2.6202413868883632</v>
      </c>
      <c r="AB545" s="92" t="str">
        <f t="shared" si="497"/>
        <v>-0,0556023070968017+0,0944089894640195i</v>
      </c>
      <c r="AC545" s="37">
        <f t="shared" si="498"/>
        <v>-19.206496347540835</v>
      </c>
      <c r="AD545" s="60">
        <f t="shared" si="499"/>
        <v>120.49601796797236</v>
      </c>
      <c r="AE545" t="str">
        <f t="shared" si="500"/>
        <v>21,0353732052265</v>
      </c>
      <c r="AF545" t="str">
        <f t="shared" si="482"/>
        <v>1+6317,91281039483i</v>
      </c>
      <c r="AG545">
        <f t="shared" si="501"/>
        <v>6317.9128895348895</v>
      </c>
      <c r="AH545">
        <f t="shared" si="502"/>
        <v>1.5706380466758669</v>
      </c>
      <c r="AI545" t="str">
        <f t="shared" si="483"/>
        <v>1+350,995156133046i</v>
      </c>
      <c r="AJ545">
        <f t="shared" si="503"/>
        <v>350.9965806512385</v>
      </c>
      <c r="AK545">
        <f t="shared" si="504"/>
        <v>1.5679472923371285</v>
      </c>
      <c r="AL545" t="str">
        <f t="shared" si="484"/>
        <v>1-23,8821954087354i</v>
      </c>
      <c r="AM545">
        <f t="shared" si="505"/>
        <v>23.903122338745252</v>
      </c>
      <c r="AN545">
        <f t="shared" si="506"/>
        <v>-1.5289485749465372</v>
      </c>
      <c r="AO545" s="58" t="str">
        <f t="shared" si="507"/>
        <v>1,09353453694531-27,9126504734521i</v>
      </c>
      <c r="AP545">
        <f t="shared" si="508"/>
        <v>28.922682157534105</v>
      </c>
      <c r="AQ545" s="60">
        <f t="shared" si="509"/>
        <v>-87.756469304294455</v>
      </c>
      <c r="AR545" t="str">
        <f t="shared" si="485"/>
        <v>-1,05811623246493</v>
      </c>
      <c r="AS545" t="str">
        <f t="shared" si="486"/>
        <v>1+345,94082588473i</v>
      </c>
      <c r="AT545">
        <f t="shared" si="510"/>
        <v>345.94227121560192</v>
      </c>
      <c r="AU545">
        <f t="shared" si="511"/>
        <v>1.5679056670638967</v>
      </c>
      <c r="AV545" t="str">
        <f t="shared" si="487"/>
        <v>1+345,94082588473i</v>
      </c>
      <c r="AW545">
        <f t="shared" si="512"/>
        <v>345.94227121560192</v>
      </c>
      <c r="AX545">
        <f t="shared" si="513"/>
        <v>1.5679056670638967</v>
      </c>
      <c r="AY545" t="str">
        <f t="shared" si="488"/>
        <v>1-0,0000735806344609557i</v>
      </c>
      <c r="AZ545">
        <f t="shared" si="514"/>
        <v>1.0000000027070548</v>
      </c>
      <c r="BA545">
        <f t="shared" si="515"/>
        <v>-7.3580634328164482E-5</v>
      </c>
      <c r="BB545" s="58" t="str">
        <f t="shared" si="516"/>
        <v>-8,61644682898742E-06+0,00305863759592998i</v>
      </c>
      <c r="BC545">
        <f t="shared" si="517"/>
        <v>-50.289405085563452</v>
      </c>
      <c r="BD545" s="60">
        <f t="shared" si="518"/>
        <v>90.161406742793815</v>
      </c>
      <c r="BE545" s="58" t="str">
        <f t="shared" si="519"/>
        <v>-0,000288283790245739-0,000170880776944617i</v>
      </c>
      <c r="BF545" s="37">
        <f t="shared" si="520"/>
        <v>-69.495901433104279</v>
      </c>
      <c r="BG545" s="60">
        <f t="shared" si="521"/>
        <v>-149.34257528923385</v>
      </c>
      <c r="BH545" s="58" t="str">
        <f t="shared" si="522"/>
        <v>0,0853652597579601+0,00358523371580942i</v>
      </c>
      <c r="BI545" s="37">
        <f t="shared" si="523"/>
        <v>-21.366722928029347</v>
      </c>
      <c r="BJ545" s="60">
        <f t="shared" si="524"/>
        <v>2.404937438499382</v>
      </c>
      <c r="BK545">
        <f t="shared" si="525"/>
        <v>-69.495901433104279</v>
      </c>
      <c r="BL545" s="60">
        <f t="shared" si="526"/>
        <v>-149.34257528923385</v>
      </c>
      <c r="BN545">
        <f t="shared" si="527"/>
        <v>0</v>
      </c>
      <c r="BO545">
        <f t="shared" si="528"/>
        <v>0</v>
      </c>
    </row>
    <row r="546" spans="13:67" x14ac:dyDescent="0.25">
      <c r="M546" s="66">
        <v>28</v>
      </c>
      <c r="N546" s="36">
        <f t="shared" si="476"/>
        <v>1905460.7179632513</v>
      </c>
      <c r="O546" s="91" t="str">
        <f t="shared" si="477"/>
        <v>13,7404580152672</v>
      </c>
      <c r="P546" s="67" t="str">
        <f t="shared" si="478"/>
        <v>1+12930,1518094358i</v>
      </c>
      <c r="Q546" s="67">
        <f t="shared" si="489"/>
        <v>12930.151848105104</v>
      </c>
      <c r="R546" s="67">
        <f t="shared" si="490"/>
        <v>1.5707189881825783</v>
      </c>
      <c r="S546" s="67" t="str">
        <f t="shared" si="479"/>
        <v>1+359,170883595438i</v>
      </c>
      <c r="T546" s="67">
        <f t="shared" si="491"/>
        <v>359.17227568776468</v>
      </c>
      <c r="U546" s="67">
        <f t="shared" si="492"/>
        <v>1.5680121439399366</v>
      </c>
      <c r="V546" t="str">
        <f t="shared" si="480"/>
        <v>1-74,8272674157162i</v>
      </c>
      <c r="W546" s="67">
        <f t="shared" si="493"/>
        <v>74.833949173507492</v>
      </c>
      <c r="X546" s="67">
        <f t="shared" si="494"/>
        <v>-1.5574330100823122</v>
      </c>
      <c r="Y546" t="str">
        <f t="shared" si="481"/>
        <v>-231,369955052868+129,837684977418i</v>
      </c>
      <c r="Z546" s="67">
        <f t="shared" si="495"/>
        <v>265.31091297091683</v>
      </c>
      <c r="AA546" s="67">
        <f t="shared" si="496"/>
        <v>2.6302147272469139</v>
      </c>
      <c r="AB546" s="92" t="str">
        <f t="shared" si="497"/>
        <v>-0,0536827877053473+0,0933181491768467i</v>
      </c>
      <c r="AC546" s="37">
        <f t="shared" si="498"/>
        <v>-19.35912117632741</v>
      </c>
      <c r="AD546" s="60">
        <f t="shared" si="499"/>
        <v>119.9103678126239</v>
      </c>
      <c r="AE546" t="str">
        <f t="shared" si="500"/>
        <v>21,0353732052265</v>
      </c>
      <c r="AF546" t="str">
        <f t="shared" si="482"/>
        <v>1+6465,07590471789i</v>
      </c>
      <c r="AG546">
        <f t="shared" si="501"/>
        <v>6465.0759820565017</v>
      </c>
      <c r="AH546">
        <f t="shared" si="502"/>
        <v>1.5706416495711852</v>
      </c>
      <c r="AI546" t="str">
        <f t="shared" si="483"/>
        <v>1+359,170883595438i</v>
      </c>
      <c r="AJ546">
        <f t="shared" si="503"/>
        <v>359.17227568776468</v>
      </c>
      <c r="AK546">
        <f t="shared" si="504"/>
        <v>1.5680121439399366</v>
      </c>
      <c r="AL546" t="str">
        <f t="shared" si="484"/>
        <v>1-24,4384832020388i</v>
      </c>
      <c r="AM546">
        <f t="shared" si="505"/>
        <v>24.458934179892893</v>
      </c>
      <c r="AN546">
        <f t="shared" si="506"/>
        <v>-1.5299000719681823</v>
      </c>
      <c r="AO546" s="58" t="str">
        <f t="shared" si="507"/>
        <v>1,09353451445983-28,5626742551881i</v>
      </c>
      <c r="AP546">
        <f t="shared" si="508"/>
        <v>29.1223384576246</v>
      </c>
      <c r="AQ546" s="60">
        <f t="shared" si="509"/>
        <v>-87.807476775414187</v>
      </c>
      <c r="AR546" t="str">
        <f t="shared" si="485"/>
        <v>-1,05811623246493</v>
      </c>
      <c r="AS546" t="str">
        <f t="shared" si="486"/>
        <v>1+353,998822871664i</v>
      </c>
      <c r="AT546">
        <f t="shared" si="510"/>
        <v>354.0002353029214</v>
      </c>
      <c r="AU546">
        <f t="shared" si="511"/>
        <v>1.5679714661585231</v>
      </c>
      <c r="AV546" t="str">
        <f t="shared" si="487"/>
        <v>1+353,998822871664i</v>
      </c>
      <c r="AW546">
        <f t="shared" si="512"/>
        <v>354.0002353029214</v>
      </c>
      <c r="AX546">
        <f t="shared" si="513"/>
        <v>1.5679714661585231</v>
      </c>
      <c r="AY546" t="str">
        <f t="shared" si="488"/>
        <v>1-0,0000719057347367891i</v>
      </c>
      <c r="AZ546">
        <f t="shared" si="514"/>
        <v>1.0000000025852174</v>
      </c>
      <c r="BA546">
        <f t="shared" si="515"/>
        <v>-7.1905734612861139E-5</v>
      </c>
      <c r="BB546" s="58" t="str">
        <f t="shared" si="516"/>
        <v>-8,22864593413537E-06+0,00298901559964394i</v>
      </c>
      <c r="BC546">
        <f t="shared" si="517"/>
        <v>-50.489403453339762</v>
      </c>
      <c r="BD546" s="60">
        <f t="shared" si="518"/>
        <v>90.157732697060737</v>
      </c>
      <c r="BE546" s="58" t="str">
        <f t="shared" si="519"/>
        <v>-0,00027848766696671-0,000161226571892462i</v>
      </c>
      <c r="BF546" s="37">
        <f t="shared" si="520"/>
        <v>-69.848524629667182</v>
      </c>
      <c r="BG546" s="60">
        <f t="shared" si="521"/>
        <v>-149.93189949031532</v>
      </c>
      <c r="BH546" s="58" t="str">
        <f t="shared" si="522"/>
        <v>0,0853652806079693+0,00350362385584748i</v>
      </c>
      <c r="BI546" s="37">
        <f t="shared" si="523"/>
        <v>-21.367064995715168</v>
      </c>
      <c r="BJ546" s="60">
        <f t="shared" si="524"/>
        <v>2.3502559216465539</v>
      </c>
      <c r="BK546">
        <f t="shared" si="525"/>
        <v>-69.848524629667182</v>
      </c>
      <c r="BL546" s="60">
        <f t="shared" si="526"/>
        <v>-149.93189949031532</v>
      </c>
      <c r="BN546">
        <f t="shared" si="527"/>
        <v>0</v>
      </c>
      <c r="BO546">
        <f t="shared" si="528"/>
        <v>0</v>
      </c>
    </row>
    <row r="547" spans="13:67" x14ac:dyDescent="0.25">
      <c r="M547" s="66">
        <v>29</v>
      </c>
      <c r="N547" s="36">
        <f t="shared" si="476"/>
        <v>1949844.5997580495</v>
      </c>
      <c r="O547" s="91" t="str">
        <f t="shared" si="477"/>
        <v>13,7404580152672</v>
      </c>
      <c r="P547" s="67" t="str">
        <f t="shared" si="478"/>
        <v>1+13231,3337357219i</v>
      </c>
      <c r="Q547" s="67">
        <f t="shared" si="489"/>
        <v>13231.333773510985</v>
      </c>
      <c r="R547" s="67">
        <f t="shared" si="490"/>
        <v>1.5707207486243153</v>
      </c>
      <c r="S547" s="67" t="str">
        <f t="shared" si="479"/>
        <v>1+367,537048214496i</v>
      </c>
      <c r="T547" s="67">
        <f t="shared" si="491"/>
        <v>367.53840861905132</v>
      </c>
      <c r="U547" s="67">
        <f t="shared" si="492"/>
        <v>1.5680755193626688</v>
      </c>
      <c r="V547" t="str">
        <f t="shared" si="480"/>
        <v>1-76,57021837802i</v>
      </c>
      <c r="W547" s="67">
        <f t="shared" si="493"/>
        <v>76.576748053555207</v>
      </c>
      <c r="X547" s="67">
        <f t="shared" si="494"/>
        <v>-1.5577371613221089</v>
      </c>
      <c r="Y547" t="str">
        <f t="shared" si="481"/>
        <v>-242,321213645158+132,861993171347i</v>
      </c>
      <c r="Z547" s="67">
        <f t="shared" si="495"/>
        <v>276.3546269052236</v>
      </c>
      <c r="AA547" s="67">
        <f t="shared" si="496"/>
        <v>2.6400642183784613</v>
      </c>
      <c r="AB547" s="92" t="str">
        <f t="shared" si="497"/>
        <v>-0,0518098917044731+0,0922029229342562i</v>
      </c>
      <c r="AC547" s="37">
        <f t="shared" si="498"/>
        <v>-19.513390116775849</v>
      </c>
      <c r="AD547" s="60">
        <f t="shared" si="499"/>
        <v>119.33213723642655</v>
      </c>
      <c r="AE547" t="str">
        <f t="shared" si="500"/>
        <v>21,0353732052265</v>
      </c>
      <c r="AF547" t="str">
        <f t="shared" si="482"/>
        <v>1+6615,66686786093i</v>
      </c>
      <c r="AG547">
        <f t="shared" si="501"/>
        <v>6615.6669434391006</v>
      </c>
      <c r="AH547">
        <f t="shared" si="502"/>
        <v>1.5706451704545976</v>
      </c>
      <c r="AI547" t="str">
        <f t="shared" si="483"/>
        <v>1+367,537048214496i</v>
      </c>
      <c r="AJ547">
        <f t="shared" si="503"/>
        <v>367.53840861905132</v>
      </c>
      <c r="AK547">
        <f t="shared" si="504"/>
        <v>1.5680755193626688</v>
      </c>
      <c r="AL547" t="str">
        <f t="shared" si="484"/>
        <v>1-25,007728602617i</v>
      </c>
      <c r="AM547">
        <f t="shared" si="505"/>
        <v>25.027714435444331</v>
      </c>
      <c r="AN547">
        <f t="shared" si="506"/>
        <v>-1.5308299818727527</v>
      </c>
      <c r="AO547" s="58" t="str">
        <f t="shared" si="507"/>
        <v>1,09353449298638-29,2278423448852i</v>
      </c>
      <c r="AP547">
        <f t="shared" si="508"/>
        <v>29.322010201598225</v>
      </c>
      <c r="AQ547" s="60">
        <f t="shared" si="509"/>
        <v>-87.857327275785735</v>
      </c>
      <c r="AR547" t="str">
        <f t="shared" si="485"/>
        <v>-1,05811623246493</v>
      </c>
      <c r="AS547" t="str">
        <f t="shared" si="486"/>
        <v>1+362,244514720207i</v>
      </c>
      <c r="AT547">
        <f t="shared" si="510"/>
        <v>362.24589500072773</v>
      </c>
      <c r="AU547">
        <f t="shared" si="511"/>
        <v>1.5680357675065333</v>
      </c>
      <c r="AV547" t="str">
        <f t="shared" si="487"/>
        <v>1+362,244514720207i</v>
      </c>
      <c r="AW547">
        <f t="shared" si="512"/>
        <v>362.24589500072773</v>
      </c>
      <c r="AX547">
        <f t="shared" si="513"/>
        <v>1.5680357675065333</v>
      </c>
      <c r="AY547" t="str">
        <f t="shared" si="488"/>
        <v>1-0,0000702689603849659i</v>
      </c>
      <c r="AZ547">
        <f t="shared" si="514"/>
        <v>1.0000000024688633</v>
      </c>
      <c r="BA547">
        <f t="shared" si="515"/>
        <v>-7.0268960269309597E-5</v>
      </c>
      <c r="BB547" s="58" t="str">
        <f t="shared" si="516"/>
        <v>-7,85829868240988E-06+0,00292097832035778i</v>
      </c>
      <c r="BC547">
        <f t="shared" si="517"/>
        <v>-50.6894018945775</v>
      </c>
      <c r="BD547" s="60">
        <f t="shared" si="518"/>
        <v>90.154142281464644</v>
      </c>
      <c r="BE547" s="58" t="str">
        <f t="shared" si="519"/>
        <v>-0,000268915601360864-0,000152060128556659i</v>
      </c>
      <c r="BF547" s="37">
        <f t="shared" si="520"/>
        <v>-70.202792011353367</v>
      </c>
      <c r="BG547" s="60">
        <f t="shared" si="521"/>
        <v>-150.51372048210874</v>
      </c>
      <c r="BH547" s="58" t="str">
        <f t="shared" si="522"/>
        <v>0,0853653005195794+0,00342387166156515i</v>
      </c>
      <c r="BI547" s="37">
        <f t="shared" si="523"/>
        <v>-21.367391692979272</v>
      </c>
      <c r="BJ547" s="60">
        <f t="shared" si="524"/>
        <v>2.2968150056789183</v>
      </c>
      <c r="BK547">
        <f t="shared" si="525"/>
        <v>-70.202792011353367</v>
      </c>
      <c r="BL547" s="60">
        <f t="shared" si="526"/>
        <v>-150.51372048210874</v>
      </c>
      <c r="BN547">
        <f t="shared" si="527"/>
        <v>0</v>
      </c>
      <c r="BO547">
        <f t="shared" si="528"/>
        <v>0</v>
      </c>
    </row>
    <row r="548" spans="13:67" x14ac:dyDescent="0.25">
      <c r="M548" s="66">
        <v>30</v>
      </c>
      <c r="N548" s="36">
        <f t="shared" si="476"/>
        <v>1995262.31496888</v>
      </c>
      <c r="O548" s="91" t="str">
        <f t="shared" si="477"/>
        <v>13,7404580152672</v>
      </c>
      <c r="P548" s="67" t="str">
        <f t="shared" si="478"/>
        <v>1+13539,5310902921i</v>
      </c>
      <c r="Q548" s="67">
        <f t="shared" si="489"/>
        <v>13539.531127220998</v>
      </c>
      <c r="R548" s="67">
        <f t="shared" si="490"/>
        <v>1.5707224689935064</v>
      </c>
      <c r="S548" s="67" t="str">
        <f t="shared" si="479"/>
        <v>1+376,098085841448i</v>
      </c>
      <c r="T548" s="67">
        <f t="shared" si="491"/>
        <v>376.09941527952577</v>
      </c>
      <c r="U548" s="67">
        <f t="shared" si="492"/>
        <v>1.5681374522057756</v>
      </c>
      <c r="V548" t="str">
        <f t="shared" si="480"/>
        <v>1-78,353767883635i</v>
      </c>
      <c r="W548" s="67">
        <f t="shared" si="493"/>
        <v>78.360148937853282</v>
      </c>
      <c r="X548" s="67">
        <f t="shared" si="494"/>
        <v>-1.558034391569284</v>
      </c>
      <c r="Y548" t="str">
        <f t="shared" si="481"/>
        <v>-253,788589154238+135,956746552693i</v>
      </c>
      <c r="Z548" s="67">
        <f t="shared" si="495"/>
        <v>287.9112448621828</v>
      </c>
      <c r="AA548" s="67">
        <f t="shared" si="496"/>
        <v>2.6497878441350649</v>
      </c>
      <c r="AB548" s="92" t="str">
        <f t="shared" si="497"/>
        <v>-0,0499838549188422+0,0910654352825079i</v>
      </c>
      <c r="AC548" s="37">
        <f t="shared" si="498"/>
        <v>-19.669262637851777</v>
      </c>
      <c r="AD548" s="60">
        <f t="shared" si="499"/>
        <v>118.76143440093102</v>
      </c>
      <c r="AE548" t="str">
        <f t="shared" si="500"/>
        <v>21,0353732052265</v>
      </c>
      <c r="AF548" t="str">
        <f t="shared" si="482"/>
        <v>1+6769,76554514607i</v>
      </c>
      <c r="AG548">
        <f t="shared" si="501"/>
        <v>6769.7656190038706</v>
      </c>
      <c r="AH548">
        <f t="shared" si="502"/>
        <v>1.5706486111929223</v>
      </c>
      <c r="AI548" t="str">
        <f t="shared" si="483"/>
        <v>1+376,098085841448i</v>
      </c>
      <c r="AJ548">
        <f t="shared" si="503"/>
        <v>376.09941527952577</v>
      </c>
      <c r="AK548">
        <f t="shared" si="504"/>
        <v>1.5681374522057756</v>
      </c>
      <c r="AL548" t="str">
        <f t="shared" si="484"/>
        <v>1-25,590233431917i</v>
      </c>
      <c r="AM548">
        <f t="shared" si="505"/>
        <v>25.609764682636239</v>
      </c>
      <c r="AN548">
        <f t="shared" si="506"/>
        <v>-1.531738791274136</v>
      </c>
      <c r="AO548" s="58" t="str">
        <f t="shared" si="507"/>
        <v>1,09353447247938-29,9085074234697i</v>
      </c>
      <c r="AP548">
        <f t="shared" si="508"/>
        <v>29.521696696576328</v>
      </c>
      <c r="AQ548" s="60">
        <f t="shared" si="509"/>
        <v>-87.906046868127959</v>
      </c>
      <c r="AR548" t="str">
        <f t="shared" si="485"/>
        <v>-1,05811623246493</v>
      </c>
      <c r="AS548" t="str">
        <f t="shared" si="486"/>
        <v>1+370,682273405331i</v>
      </c>
      <c r="AT548">
        <f t="shared" si="510"/>
        <v>370.68362226694683</v>
      </c>
      <c r="AU548">
        <f t="shared" si="511"/>
        <v>1.5680986051992249</v>
      </c>
      <c r="AV548" t="str">
        <f t="shared" si="487"/>
        <v>1+370,682273405331i</v>
      </c>
      <c r="AW548">
        <f t="shared" si="512"/>
        <v>370.68362226694683</v>
      </c>
      <c r="AX548">
        <f t="shared" si="513"/>
        <v>1.5680986051992249</v>
      </c>
      <c r="AY548" t="str">
        <f t="shared" si="488"/>
        <v>1-0,0000686694435660579i</v>
      </c>
      <c r="AZ548">
        <f t="shared" si="514"/>
        <v>1.0000000023577462</v>
      </c>
      <c r="BA548">
        <f t="shared" si="515"/>
        <v>-6.8669443458121152E-5</v>
      </c>
      <c r="BB548" s="58" t="str">
        <f t="shared" si="516"/>
        <v>-7,50461955442714E-06+0,00285448969038873i</v>
      </c>
      <c r="BC548">
        <f t="shared" si="517"/>
        <v>-50.889400405970697</v>
      </c>
      <c r="BD548" s="60">
        <f t="shared" si="518"/>
        <v>90.150633592441608</v>
      </c>
      <c r="BE548" s="58" t="str">
        <f t="shared" si="519"/>
        <v>-0,000259570236349651-0,000143361809998075i</v>
      </c>
      <c r="BF548" s="37">
        <f t="shared" si="520"/>
        <v>-70.558663043822477</v>
      </c>
      <c r="BG548" s="60">
        <f t="shared" si="521"/>
        <v>-151.08793200662726</v>
      </c>
      <c r="BH548" s="58" t="str">
        <f t="shared" si="522"/>
        <v>0,0853653195350235+0,00334593484743097i</v>
      </c>
      <c r="BI548" s="37">
        <f t="shared" si="523"/>
        <v>-21.367703709394362</v>
      </c>
      <c r="BJ548" s="60">
        <f t="shared" si="524"/>
        <v>2.244586724313657</v>
      </c>
      <c r="BK548">
        <f t="shared" si="525"/>
        <v>-70.558663043822477</v>
      </c>
      <c r="BL548" s="60">
        <f t="shared" si="526"/>
        <v>-151.08793200662726</v>
      </c>
      <c r="BN548">
        <f t="shared" si="527"/>
        <v>0</v>
      </c>
      <c r="BO548">
        <f t="shared" si="528"/>
        <v>0</v>
      </c>
    </row>
    <row r="549" spans="13:67" x14ac:dyDescent="0.25">
      <c r="M549" s="66">
        <v>31</v>
      </c>
      <c r="N549" s="36">
        <f t="shared" si="476"/>
        <v>2041737.9446695296</v>
      </c>
      <c r="O549" s="91" t="str">
        <f t="shared" si="477"/>
        <v>13,7404580152672</v>
      </c>
      <c r="P549" s="67" t="str">
        <f t="shared" si="478"/>
        <v>1+13854,9072834633i</v>
      </c>
      <c r="Q549" s="67">
        <f t="shared" si="489"/>
        <v>13854.907319551596</v>
      </c>
      <c r="R549" s="67">
        <f t="shared" si="490"/>
        <v>1.5707241502023144</v>
      </c>
      <c r="S549" s="67" t="str">
        <f t="shared" si="479"/>
        <v>1+384,858535651758i</v>
      </c>
      <c r="T549" s="67">
        <f t="shared" si="491"/>
        <v>384.85983482823394</v>
      </c>
      <c r="U549" s="67">
        <f t="shared" si="492"/>
        <v>1.5681979753049688</v>
      </c>
      <c r="V549" t="str">
        <f t="shared" si="480"/>
        <v>1-80,1788615941162i</v>
      </c>
      <c r="W549" s="67">
        <f t="shared" si="493"/>
        <v>80.185097409234601</v>
      </c>
      <c r="X549" s="67">
        <f t="shared" si="494"/>
        <v>-1.5583248582090559</v>
      </c>
      <c r="Y549" t="str">
        <f t="shared" si="481"/>
        <v>-265,796405421013+139,123586000661i</v>
      </c>
      <c r="Z549" s="67">
        <f t="shared" si="495"/>
        <v>300.00516881616363</v>
      </c>
      <c r="AA549" s="67">
        <f t="shared" si="496"/>
        <v>2.6593837916368073</v>
      </c>
      <c r="AB549" s="92" t="str">
        <f t="shared" si="497"/>
        <v>-0,0482048045911965+0,0899077750315695i</v>
      </c>
      <c r="AC549" s="37">
        <f t="shared" si="498"/>
        <v>-19.826698051096677</v>
      </c>
      <c r="AD549" s="60">
        <f t="shared" si="499"/>
        <v>118.19835598808146</v>
      </c>
      <c r="AE549" t="str">
        <f t="shared" si="500"/>
        <v>21,0353732052265</v>
      </c>
      <c r="AF549" t="str">
        <f t="shared" si="482"/>
        <v>1+6927,45364173165i</v>
      </c>
      <c r="AG549">
        <f t="shared" si="501"/>
        <v>6927.4537139082431</v>
      </c>
      <c r="AH549">
        <f t="shared" si="502"/>
        <v>1.570651973610484</v>
      </c>
      <c r="AI549" t="str">
        <f t="shared" si="483"/>
        <v>1+384,858535651758i</v>
      </c>
      <c r="AJ549">
        <f t="shared" si="503"/>
        <v>384.85983482823394</v>
      </c>
      <c r="AK549">
        <f t="shared" si="504"/>
        <v>1.5681979753049688</v>
      </c>
      <c r="AL549" t="str">
        <f t="shared" si="484"/>
        <v>1-26,1863065417093i</v>
      </c>
      <c r="AM549">
        <f t="shared" si="505"/>
        <v>26.205393534468573</v>
      </c>
      <c r="AN549">
        <f t="shared" si="506"/>
        <v>-1.5326269760267444</v>
      </c>
      <c r="AO549" s="58" t="str">
        <f t="shared" si="507"/>
        <v>1,09353445289536-30,6050303885758i</v>
      </c>
      <c r="AP549">
        <f t="shared" si="508"/>
        <v>29.721397280670686</v>
      </c>
      <c r="AQ549" s="60">
        <f t="shared" si="509"/>
        <v>-87.953661040068724</v>
      </c>
      <c r="AR549" t="str">
        <f t="shared" si="485"/>
        <v>-1,05811623246493</v>
      </c>
      <c r="AS549" t="str">
        <f t="shared" si="486"/>
        <v>1+379,316572738373i</v>
      </c>
      <c r="AT549">
        <f t="shared" si="510"/>
        <v>379.31789089625795</v>
      </c>
      <c r="AU549">
        <f t="shared" si="511"/>
        <v>1.5681600125519883</v>
      </c>
      <c r="AV549" t="str">
        <f t="shared" si="487"/>
        <v>1+379,316572738373i</v>
      </c>
      <c r="AW549">
        <f t="shared" si="512"/>
        <v>379.31789089625795</v>
      </c>
      <c r="AX549">
        <f t="shared" si="513"/>
        <v>1.5681600125519883</v>
      </c>
      <c r="AY549" t="str">
        <f t="shared" si="488"/>
        <v>1-0,0000671063361950765i</v>
      </c>
      <c r="AZ549">
        <f t="shared" si="514"/>
        <v>1.0000000022516302</v>
      </c>
      <c r="BA549">
        <f t="shared" si="515"/>
        <v>-6.7106336094344065E-5</v>
      </c>
      <c r="BB549" s="58" t="str">
        <f t="shared" si="516"/>
        <v>-7,16685838289206E-06+0,00278951446272916i</v>
      </c>
      <c r="BC549">
        <f t="shared" si="517"/>
        <v>-51.089398984361665</v>
      </c>
      <c r="BD549" s="60">
        <f t="shared" si="518"/>
        <v>90.147204769752065</v>
      </c>
      <c r="BE549" s="58" t="str">
        <f t="shared" si="519"/>
        <v>-0,000250453561754483-0,000135112355871348i</v>
      </c>
      <c r="BF549" s="37">
        <f t="shared" si="520"/>
        <v>-70.916097035458336</v>
      </c>
      <c r="BG549" s="60">
        <f t="shared" si="521"/>
        <v>-151.65443924216646</v>
      </c>
      <c r="BH549" s="58" t="str">
        <f t="shared" si="522"/>
        <v>0,0853653376946369+0,00326977209044326i</v>
      </c>
      <c r="BI549" s="37">
        <f t="shared" si="523"/>
        <v>-21.368001703690986</v>
      </c>
      <c r="BJ549" s="60">
        <f t="shared" si="524"/>
        <v>2.1935437296833613</v>
      </c>
      <c r="BK549">
        <f t="shared" si="525"/>
        <v>-70.916097035458336</v>
      </c>
      <c r="BL549" s="60">
        <f t="shared" si="526"/>
        <v>-151.65443924216646</v>
      </c>
      <c r="BN549">
        <f t="shared" si="527"/>
        <v>0</v>
      </c>
      <c r="BO549">
        <f t="shared" si="528"/>
        <v>0</v>
      </c>
    </row>
    <row r="550" spans="13:67" x14ac:dyDescent="0.25">
      <c r="M550" s="66">
        <v>32</v>
      </c>
      <c r="N550" s="36">
        <f t="shared" si="476"/>
        <v>2089296.1308540432</v>
      </c>
      <c r="O550" s="91" t="str">
        <f t="shared" si="477"/>
        <v>13,7404580152672</v>
      </c>
      <c r="P550" s="67" t="str">
        <f t="shared" si="478"/>
        <v>1+14177,6295318676i</v>
      </c>
      <c r="Q550" s="67">
        <f t="shared" si="489"/>
        <v>14177.629567134425</v>
      </c>
      <c r="R550" s="67">
        <f t="shared" si="490"/>
        <v>1.5707257931421379</v>
      </c>
      <c r="S550" s="67" t="str">
        <f t="shared" si="479"/>
        <v>1+393,823042551879i</v>
      </c>
      <c r="T550" s="67">
        <f t="shared" si="491"/>
        <v>393.82431215558427</v>
      </c>
      <c r="U550" s="67">
        <f t="shared" si="492"/>
        <v>1.568257120748622</v>
      </c>
      <c r="V550" t="str">
        <f t="shared" si="480"/>
        <v>1-82,0464671983081i</v>
      </c>
      <c r="W550" s="67">
        <f t="shared" si="493"/>
        <v>82.05256107960949</v>
      </c>
      <c r="X550" s="67">
        <f t="shared" si="494"/>
        <v>-1.5586087150545136</v>
      </c>
      <c r="Y550" t="str">
        <f t="shared" si="481"/>
        <v>-278,370132633708+142,364190615446i</v>
      </c>
      <c r="Z550" s="67">
        <f t="shared" si="495"/>
        <v>312.66194765608952</v>
      </c>
      <c r="AA550" s="67">
        <f t="shared" si="496"/>
        <v>2.6688504475767534</v>
      </c>
      <c r="AB550" s="92" t="str">
        <f t="shared" si="497"/>
        <v>-0,0464727643852593+0,0887319895662698i</v>
      </c>
      <c r="AC550" s="37">
        <f t="shared" si="498"/>
        <v>-19.985655602650507</v>
      </c>
      <c r="AD550" s="60">
        <f t="shared" si="499"/>
        <v>117.6429874081704</v>
      </c>
      <c r="AE550" t="str">
        <f t="shared" si="500"/>
        <v>21,0353732052265</v>
      </c>
      <c r="AF550" t="str">
        <f t="shared" si="482"/>
        <v>1+7088,81476593383i</v>
      </c>
      <c r="AG550">
        <f t="shared" si="501"/>
        <v>7088.8148364674835</v>
      </c>
      <c r="AH550">
        <f t="shared" si="502"/>
        <v>1.5706552594900811</v>
      </c>
      <c r="AI550" t="str">
        <f t="shared" si="483"/>
        <v>1+393,823042551879i</v>
      </c>
      <c r="AJ550">
        <f t="shared" si="503"/>
        <v>393.82431215558427</v>
      </c>
      <c r="AK550">
        <f t="shared" si="504"/>
        <v>1.568257120748622</v>
      </c>
      <c r="AL550" t="str">
        <f t="shared" si="484"/>
        <v>1-26,7962639778469i</v>
      </c>
      <c r="AM550">
        <f t="shared" si="505"/>
        <v>26.814916803347632</v>
      </c>
      <c r="AN550">
        <f t="shared" si="506"/>
        <v>-1.5334950014493784</v>
      </c>
      <c r="AO550" s="58" t="str">
        <f t="shared" si="507"/>
        <v>1,09353443419275-31,3177805458991i</v>
      </c>
      <c r="AP550">
        <f t="shared" si="508"/>
        <v>29.921111321605935</v>
      </c>
      <c r="AQ550" s="60">
        <f t="shared" si="509"/>
        <v>-88.000194716029867</v>
      </c>
      <c r="AR550" t="str">
        <f t="shared" si="485"/>
        <v>-1,05811623246493</v>
      </c>
      <c r="AS550" t="str">
        <f t="shared" si="486"/>
        <v>1+388,151990739132i</v>
      </c>
      <c r="AT550">
        <f t="shared" si="510"/>
        <v>388.15327889218088</v>
      </c>
      <c r="AU550">
        <f t="shared" si="511"/>
        <v>1.5682200221219611</v>
      </c>
      <c r="AV550" t="str">
        <f t="shared" si="487"/>
        <v>1+388,151990739132i</v>
      </c>
      <c r="AW550">
        <f t="shared" si="512"/>
        <v>388.15327889218088</v>
      </c>
      <c r="AX550">
        <f t="shared" si="513"/>
        <v>1.5682200221219611</v>
      </c>
      <c r="AY550" t="str">
        <f t="shared" si="488"/>
        <v>1-0,0000655788094918025i</v>
      </c>
      <c r="AZ550">
        <f t="shared" si="514"/>
        <v>1.0000000021502902</v>
      </c>
      <c r="BA550">
        <f t="shared" si="515"/>
        <v>-6.5578809397793527E-5</v>
      </c>
      <c r="BB550" s="58" t="str">
        <f t="shared" si="516"/>
        <v>-6,84429876167664E-06+0,00272601819238717i</v>
      </c>
      <c r="BC550">
        <f t="shared" si="517"/>
        <v>-51.289397626735237</v>
      </c>
      <c r="BD550" s="60">
        <f t="shared" si="518"/>
        <v>90.143853995495036</v>
      </c>
      <c r="BE550" s="58" t="str">
        <f t="shared" si="519"/>
        <v>-0,000241566944320626-0,000127292909411049i</v>
      </c>
      <c r="BF550" s="37">
        <f t="shared" si="520"/>
        <v>-71.275053229385762</v>
      </c>
      <c r="BG550" s="60">
        <f t="shared" si="521"/>
        <v>-152.21315859633449</v>
      </c>
      <c r="BH550" s="58" t="str">
        <f t="shared" si="522"/>
        <v>0,0853653550369362+0,00319534300822001i</v>
      </c>
      <c r="BI550" s="37">
        <f t="shared" si="523"/>
        <v>-21.368286305129303</v>
      </c>
      <c r="BJ550" s="60">
        <f t="shared" si="524"/>
        <v>2.1436592794651839</v>
      </c>
      <c r="BK550">
        <f t="shared" si="525"/>
        <v>-71.275053229385762</v>
      </c>
      <c r="BL550" s="60">
        <f t="shared" si="526"/>
        <v>-152.21315859633449</v>
      </c>
      <c r="BN550">
        <f t="shared" si="527"/>
        <v>0</v>
      </c>
      <c r="BO550">
        <f t="shared" si="528"/>
        <v>0</v>
      </c>
    </row>
    <row r="551" spans="13:67" x14ac:dyDescent="0.25">
      <c r="M551" s="66">
        <v>33</v>
      </c>
      <c r="N551" s="36">
        <f t="shared" si="476"/>
        <v>2137962.0895022359</v>
      </c>
      <c r="O551" s="91" t="str">
        <f t="shared" si="477"/>
        <v>13,7404580152672</v>
      </c>
      <c r="P551" s="67" t="str">
        <f t="shared" si="478"/>
        <v>1+14507,8689471128i</v>
      </c>
      <c r="Q551" s="67">
        <f t="shared" si="489"/>
        <v>14507.868981576856</v>
      </c>
      <c r="R551" s="67">
        <f t="shared" si="490"/>
        <v>1.5707273986840857</v>
      </c>
      <c r="S551" s="67" t="str">
        <f t="shared" si="479"/>
        <v>1+402,996359642022i</v>
      </c>
      <c r="T551" s="67">
        <f t="shared" si="491"/>
        <v>402.99760034610875</v>
      </c>
      <c r="U551" s="67">
        <f t="shared" si="492"/>
        <v>1.5683149198947763</v>
      </c>
      <c r="V551" t="str">
        <f t="shared" si="480"/>
        <v>1-83,9575749254212i</v>
      </c>
      <c r="W551" s="67">
        <f t="shared" si="493"/>
        <v>83.963530103001943</v>
      </c>
      <c r="X551" s="67">
        <f t="shared" si="494"/>
        <v>-1.5588861124272355</v>
      </c>
      <c r="Y551" t="str">
        <f t="shared" si="481"/>
        <v>-291,536441353521+145,680278608507i</v>
      </c>
      <c r="Z551" s="67">
        <f t="shared" si="495"/>
        <v>325.90833099589099</v>
      </c>
      <c r="AA551" s="67">
        <f t="shared" si="496"/>
        <v>2.6781863939819344</v>
      </c>
      <c r="AB551" s="92" t="str">
        <f t="shared" si="497"/>
        <v>-0,0447876596411224+0,0875400797119966i</v>
      </c>
      <c r="AC551" s="37">
        <f t="shared" si="498"/>
        <v>-20.146094560822007</v>
      </c>
      <c r="AD551" s="60">
        <f t="shared" si="499"/>
        <v>117.09540303904483</v>
      </c>
      <c r="AE551" t="str">
        <f t="shared" si="500"/>
        <v>21,0353732052265</v>
      </c>
      <c r="AF551" t="str">
        <f t="shared" si="482"/>
        <v>1+7253,9344735564i</v>
      </c>
      <c r="AG551">
        <f t="shared" si="501"/>
        <v>7253.9345424845096</v>
      </c>
      <c r="AH551">
        <f t="shared" si="502"/>
        <v>1.5706584705739299</v>
      </c>
      <c r="AI551" t="str">
        <f t="shared" si="483"/>
        <v>1+402,996359642022i</v>
      </c>
      <c r="AJ551">
        <f t="shared" si="503"/>
        <v>402.99760034610875</v>
      </c>
      <c r="AK551">
        <f t="shared" si="504"/>
        <v>1.5683149198947763</v>
      </c>
      <c r="AL551" t="str">
        <f t="shared" si="484"/>
        <v>1-27,4204291478359i</v>
      </c>
      <c r="AM551">
        <f t="shared" si="505"/>
        <v>27.438657668542913</v>
      </c>
      <c r="AN551">
        <f t="shared" si="506"/>
        <v>-1.5343433225453846</v>
      </c>
      <c r="AO551" s="58" t="str">
        <f t="shared" si="507"/>
        <v>1,09353441633191-32,0471358050075i</v>
      </c>
      <c r="AP551">
        <f t="shared" si="508"/>
        <v>30.120838215402333</v>
      </c>
      <c r="AQ551" s="60">
        <f t="shared" si="509"/>
        <v>-88.045672268921024</v>
      </c>
      <c r="AR551" t="str">
        <f t="shared" si="485"/>
        <v>-1,05811623246493</v>
      </c>
      <c r="AS551" t="str">
        <f t="shared" si="486"/>
        <v>1+397,193212063177i</v>
      </c>
      <c r="AT551">
        <f t="shared" si="510"/>
        <v>397.19447089437676</v>
      </c>
      <c r="AU551">
        <f t="shared" si="511"/>
        <v>1.5682786657252819</v>
      </c>
      <c r="AV551" t="str">
        <f t="shared" si="487"/>
        <v>1+397,193212063177i</v>
      </c>
      <c r="AW551">
        <f t="shared" si="512"/>
        <v>397.19447089437676</v>
      </c>
      <c r="AX551">
        <f t="shared" si="513"/>
        <v>1.5682786657252819</v>
      </c>
      <c r="AY551" t="str">
        <f t="shared" si="488"/>
        <v>1-0,0000640860535413598i</v>
      </c>
      <c r="AZ551">
        <f t="shared" si="514"/>
        <v>1.0000000020535111</v>
      </c>
      <c r="BA551">
        <f t="shared" si="515"/>
        <v>-6.4086053453625528E-5</v>
      </c>
      <c r="BB551" s="58" t="str">
        <f t="shared" si="516"/>
        <v>-0,000006536256526487+0,002663967218151i</v>
      </c>
      <c r="BC551">
        <f t="shared" si="517"/>
        <v>-51.489396330211633</v>
      </c>
      <c r="BD551" s="60">
        <f t="shared" si="518"/>
        <v>90.14057949314477</v>
      </c>
      <c r="BE551" s="58" t="str">
        <f t="shared" si="519"/>
        <v>-0,000232911158994449-0,000119885041479001i</v>
      </c>
      <c r="BF551" s="37">
        <f t="shared" si="520"/>
        <v>-71.635490891033641</v>
      </c>
      <c r="BG551" s="60">
        <f t="shared" si="521"/>
        <v>-152.76401746781048</v>
      </c>
      <c r="BH551" s="58" t="str">
        <f t="shared" si="522"/>
        <v>0,0853653715987075+0,00312260813758879i</v>
      </c>
      <c r="BI551" s="37">
        <f t="shared" si="523"/>
        <v>-21.368558114809296</v>
      </c>
      <c r="BJ551" s="60">
        <f t="shared" si="524"/>
        <v>2.0949072242237432</v>
      </c>
      <c r="BK551">
        <f t="shared" si="525"/>
        <v>-71.635490891033641</v>
      </c>
      <c r="BL551" s="60">
        <f t="shared" si="526"/>
        <v>-152.76401746781048</v>
      </c>
      <c r="BN551">
        <f t="shared" si="527"/>
        <v>0</v>
      </c>
      <c r="BO551">
        <f t="shared" si="528"/>
        <v>0</v>
      </c>
    </row>
    <row r="552" spans="13:67" x14ac:dyDescent="0.25">
      <c r="M552" s="66">
        <v>34</v>
      </c>
      <c r="N552" s="36">
        <f t="shared" si="476"/>
        <v>2187761.6239495561</v>
      </c>
      <c r="O552" s="91" t="str">
        <f t="shared" si="477"/>
        <v>13,7404580152672</v>
      </c>
      <c r="P552" s="67" t="str">
        <f t="shared" si="478"/>
        <v>1+14845,8006265081i</v>
      </c>
      <c r="Q552" s="67">
        <f t="shared" si="489"/>
        <v>14845.800660187655</v>
      </c>
      <c r="R552" s="67">
        <f t="shared" si="490"/>
        <v>1.5707289676794374</v>
      </c>
      <c r="S552" s="67" t="str">
        <f t="shared" si="479"/>
        <v>1+412,383350736336i</v>
      </c>
      <c r="T552" s="67">
        <f t="shared" si="491"/>
        <v>412.38456319863377</v>
      </c>
      <c r="U552" s="67">
        <f t="shared" si="492"/>
        <v>1.5683714033877583</v>
      </c>
      <c r="V552" t="str">
        <f t="shared" si="480"/>
        <v>1-85,91319807007i</v>
      </c>
      <c r="W552" s="67">
        <f t="shared" si="493"/>
        <v>85.919017700547982</v>
      </c>
      <c r="X552" s="67">
        <f t="shared" si="494"/>
        <v>-1.559157197236118</v>
      </c>
      <c r="Y552" t="str">
        <f t="shared" si="481"/>
        <v>-305,323259086489+149,073608213593i</v>
      </c>
      <c r="Z552" s="67">
        <f t="shared" si="495"/>
        <v>339.77232554317175</v>
      </c>
      <c r="AA552" s="67">
        <f t="shared" si="496"/>
        <v>2.6873904034859302</v>
      </c>
      <c r="AB552" s="92" t="str">
        <f t="shared" si="497"/>
        <v>-0,0431493228264688+0,0863339951543552i</v>
      </c>
      <c r="AC552" s="37">
        <f t="shared" si="498"/>
        <v>-20.307974299011818</v>
      </c>
      <c r="AD552" s="60">
        <f t="shared" si="499"/>
        <v>116.55566649337685</v>
      </c>
      <c r="AE552" t="str">
        <f t="shared" si="500"/>
        <v>21,0353732052265</v>
      </c>
      <c r="AF552" t="str">
        <f t="shared" si="482"/>
        <v>1+7422,90031325406i</v>
      </c>
      <c r="AG552">
        <f t="shared" si="501"/>
        <v>7422.9003806131759</v>
      </c>
      <c r="AH552">
        <f t="shared" si="502"/>
        <v>1.5706616085645893</v>
      </c>
      <c r="AI552" t="str">
        <f t="shared" si="483"/>
        <v>1+412,383350736336i</v>
      </c>
      <c r="AJ552">
        <f t="shared" si="503"/>
        <v>412.38456319863377</v>
      </c>
      <c r="AK552">
        <f t="shared" si="504"/>
        <v>1.5683714033877583</v>
      </c>
      <c r="AL552" t="str">
        <f t="shared" si="484"/>
        <v>1-28,0591329923114i</v>
      </c>
      <c r="AM552">
        <f t="shared" si="505"/>
        <v>28.076946847551248</v>
      </c>
      <c r="AN552">
        <f t="shared" si="506"/>
        <v>-1.5351723842191034</v>
      </c>
      <c r="AO552" s="58" t="str">
        <f t="shared" si="507"/>
        <v>1,09353439927493-32,7934828797133i</v>
      </c>
      <c r="AP552">
        <f t="shared" si="508"/>
        <v>30.320577385116284</v>
      </c>
      <c r="AQ552" s="60">
        <f t="shared" si="509"/>
        <v>-88.090117531642093</v>
      </c>
      <c r="AR552" t="str">
        <f t="shared" si="485"/>
        <v>-1,05811623246493</v>
      </c>
      <c r="AS552" t="str">
        <f t="shared" si="486"/>
        <v>1+406,445030485733i</v>
      </c>
      <c r="AT552">
        <f t="shared" si="510"/>
        <v>406.44626066252408</v>
      </c>
      <c r="AU552">
        <f t="shared" si="511"/>
        <v>1.5683359744539509</v>
      </c>
      <c r="AV552" t="str">
        <f t="shared" si="487"/>
        <v>1+406,445030485733i</v>
      </c>
      <c r="AW552">
        <f t="shared" si="512"/>
        <v>406.44626066252408</v>
      </c>
      <c r="AX552">
        <f t="shared" si="513"/>
        <v>1.5683359744539509</v>
      </c>
      <c r="AY552" t="str">
        <f t="shared" si="488"/>
        <v>1-0,0000626272768647837i</v>
      </c>
      <c r="AZ552">
        <f t="shared" si="514"/>
        <v>1.000000001961088</v>
      </c>
      <c r="BA552">
        <f t="shared" si="515"/>
        <v>-6.2627276782905306E-5</v>
      </c>
      <c r="BB552" s="58" t="str">
        <f t="shared" si="516"/>
        <v>-6,24207830389541E-06+0,00260332864476681i</v>
      </c>
      <c r="BC552">
        <f t="shared" si="517"/>
        <v>-51.689395092040812</v>
      </c>
      <c r="BD552" s="60">
        <f t="shared" si="518"/>
        <v>90.137379526609251</v>
      </c>
      <c r="BE552" s="58" t="str">
        <f t="shared" si="519"/>
        <v>-0,000224486421150649-0,000112870771674478i</v>
      </c>
      <c r="BF552" s="37">
        <f t="shared" si="520"/>
        <v>-71.997369391052629</v>
      </c>
      <c r="BG552" s="60">
        <f t="shared" si="521"/>
        <v>-153.30695398001396</v>
      </c>
      <c r="BH552" s="58" t="str">
        <f t="shared" si="522"/>
        <v>0,0853653874150793+0,00305152891366292i</v>
      </c>
      <c r="BI552" s="37">
        <f t="shared" si="523"/>
        <v>-21.368817706924538</v>
      </c>
      <c r="BJ552" s="60">
        <f t="shared" si="524"/>
        <v>2.04726199496718</v>
      </c>
      <c r="BK552">
        <f t="shared" si="525"/>
        <v>-71.997369391052629</v>
      </c>
      <c r="BL552" s="60">
        <f t="shared" si="526"/>
        <v>-153.30695398001396</v>
      </c>
      <c r="BN552">
        <f t="shared" si="527"/>
        <v>0</v>
      </c>
      <c r="BO552">
        <f t="shared" si="528"/>
        <v>0</v>
      </c>
    </row>
    <row r="553" spans="13:67" x14ac:dyDescent="0.25">
      <c r="M553" s="66">
        <v>35</v>
      </c>
      <c r="N553" s="36">
        <f t="shared" si="476"/>
        <v>2238721.1385683389</v>
      </c>
      <c r="O553" s="91" t="str">
        <f t="shared" si="477"/>
        <v>13,7404580152672</v>
      </c>
      <c r="P553" s="67" t="str">
        <f t="shared" si="478"/>
        <v>1+15191,6037459029i</v>
      </c>
      <c r="Q553" s="67">
        <f t="shared" si="489"/>
        <v>15191.603778815817</v>
      </c>
      <c r="R553" s="67">
        <f t="shared" si="490"/>
        <v>1.5707305009600947</v>
      </c>
      <c r="S553" s="67" t="str">
        <f t="shared" si="479"/>
        <v>1+421,988992941747i</v>
      </c>
      <c r="T553" s="67">
        <f t="shared" si="491"/>
        <v>421.99017780511167</v>
      </c>
      <c r="U553" s="67">
        <f t="shared" si="492"/>
        <v>1.568426601174421</v>
      </c>
      <c r="V553" t="str">
        <f t="shared" si="480"/>
        <v>1-87,9143735295306i</v>
      </c>
      <c r="W553" s="67">
        <f t="shared" si="493"/>
        <v>87.920060697714646</v>
      </c>
      <c r="X553" s="67">
        <f t="shared" si="494"/>
        <v>-1.5594221130544541</v>
      </c>
      <c r="Y553" t="str">
        <f t="shared" si="481"/>
        <v>-319,759829521453+152,545978618976i</v>
      </c>
      <c r="Z553" s="67">
        <f t="shared" si="495"/>
        <v>354.28325414618422</v>
      </c>
      <c r="AA553" s="67">
        <f t="shared" si="496"/>
        <v>2.6964614341680937</v>
      </c>
      <c r="AB553" s="92" t="str">
        <f t="shared" si="497"/>
        <v>-0,0415574991296445+0,0851156304068169i</v>
      </c>
      <c r="AC553" s="37">
        <f t="shared" si="498"/>
        <v>-20.471254373843184</v>
      </c>
      <c r="AD553" s="60">
        <f t="shared" si="499"/>
        <v>116.02383091084202</v>
      </c>
      <c r="AE553" t="str">
        <f t="shared" si="500"/>
        <v>21,0353732052265</v>
      </c>
      <c r="AF553" t="str">
        <f t="shared" si="482"/>
        <v>1+7595,80187295145i</v>
      </c>
      <c r="AG553">
        <f t="shared" si="501"/>
        <v>7595.8019387772838</v>
      </c>
      <c r="AH553">
        <f t="shared" si="502"/>
        <v>1.5706646751258631</v>
      </c>
      <c r="AI553" t="str">
        <f t="shared" si="483"/>
        <v>1+421,988992941747i</v>
      </c>
      <c r="AJ553">
        <f t="shared" si="503"/>
        <v>421.99017780511167</v>
      </c>
      <c r="AK553">
        <f t="shared" si="504"/>
        <v>1.568426601174421</v>
      </c>
      <c r="AL553" t="str">
        <f t="shared" si="484"/>
        <v>1-28,7127141605059i</v>
      </c>
      <c r="AM553">
        <f t="shared" si="505"/>
        <v>28.730122771455676</v>
      </c>
      <c r="AN553">
        <f t="shared" si="506"/>
        <v>-1.5359826214886052</v>
      </c>
      <c r="AO553" s="58" t="str">
        <f t="shared" si="507"/>
        <v>1,09353438298565-33,5572174931149i</v>
      </c>
      <c r="AP553">
        <f>20*LOG(IMABS(AO553))</f>
        <v>30.520328279636647</v>
      </c>
      <c r="AQ553" s="60">
        <f t="shared" si="509"/>
        <v>-88.133553808393103</v>
      </c>
      <c r="AR553" t="str">
        <f t="shared" si="485"/>
        <v>-1,05811623246493</v>
      </c>
      <c r="AS553" t="str">
        <f t="shared" si="486"/>
        <v>1+415,912351443386i</v>
      </c>
      <c r="AT553">
        <f t="shared" si="510"/>
        <v>415.91355361801641</v>
      </c>
      <c r="AU553">
        <f t="shared" si="511"/>
        <v>1.5683919786923082</v>
      </c>
      <c r="AV553" t="str">
        <f t="shared" si="487"/>
        <v>1+415,912351443386i</v>
      </c>
      <c r="AW553">
        <f t="shared" si="512"/>
        <v>415.91355361801641</v>
      </c>
      <c r="AX553">
        <f t="shared" si="513"/>
        <v>1.5683919786923082</v>
      </c>
      <c r="AY553" t="str">
        <f t="shared" si="488"/>
        <v>1-0,0000612017059993717i</v>
      </c>
      <c r="AZ553">
        <f t="shared" si="514"/>
        <v>1.0000000018728243</v>
      </c>
      <c r="BA553">
        <f t="shared" si="515"/>
        <v>-6.1201705922958339E-5</v>
      </c>
      <c r="BB553" s="58" t="str">
        <f t="shared" si="516"/>
        <v>-5,96114012566434E-06+0,00254407032552106i</v>
      </c>
      <c r="BC553">
        <f t="shared" si="517"/>
        <v>-51.889393909596528</v>
      </c>
      <c r="BD553" s="60">
        <f t="shared" si="518"/>
        <v>90.134252399310213</v>
      </c>
      <c r="BE553" s="58" t="str">
        <f t="shared" si="519"/>
        <v>-0,000216292419480417-0,000106232586538335i</v>
      </c>
      <c r="BF553" s="37">
        <f t="shared" si="520"/>
        <v>-72.360648283439701</v>
      </c>
      <c r="BG553" s="60">
        <f t="shared" si="521"/>
        <v>-153.84191668984781</v>
      </c>
      <c r="BH553" s="58" t="str">
        <f t="shared" si="522"/>
        <v>0,0853654025196006+0,00298206764939463i</v>
      </c>
      <c r="BI553" s="37">
        <f t="shared" si="523"/>
        <v>-21.369065629959874</v>
      </c>
      <c r="BJ553" s="60">
        <f t="shared" si="524"/>
        <v>2.0006985909171142</v>
      </c>
      <c r="BK553">
        <f t="shared" si="525"/>
        <v>-72.360648283439701</v>
      </c>
      <c r="BL553" s="60">
        <f t="shared" si="526"/>
        <v>-153.84191668984781</v>
      </c>
      <c r="BN553">
        <f t="shared" si="527"/>
        <v>0</v>
      </c>
      <c r="BO553">
        <f t="shared" si="528"/>
        <v>0</v>
      </c>
    </row>
    <row r="554" spans="13:67" x14ac:dyDescent="0.25">
      <c r="M554" s="66">
        <v>36</v>
      </c>
      <c r="N554" s="36">
        <f t="shared" si="476"/>
        <v>2290867.6527677765</v>
      </c>
      <c r="O554" s="91" t="str">
        <f t="shared" si="477"/>
        <v>13,7404580152672</v>
      </c>
      <c r="P554" s="67" t="str">
        <f t="shared" si="478"/>
        <v>1+15545,4616546886i</v>
      </c>
      <c r="Q554" s="67">
        <f t="shared" si="489"/>
        <v>15545.461686852328</v>
      </c>
      <c r="R554" s="67">
        <f t="shared" si="490"/>
        <v>1.5707319993390234</v>
      </c>
      <c r="S554" s="67" t="str">
        <f t="shared" si="479"/>
        <v>1+431,818379296905i</v>
      </c>
      <c r="T554" s="67">
        <f t="shared" si="491"/>
        <v>431.81953718955992</v>
      </c>
      <c r="U554" s="67">
        <f t="shared" si="492"/>
        <v>1.5684805425200155</v>
      </c>
      <c r="V554" t="str">
        <f t="shared" si="480"/>
        <v>1-89,9621623535219i</v>
      </c>
      <c r="W554" s="67">
        <f t="shared" si="493"/>
        <v>89.967720074043413</v>
      </c>
      <c r="X554" s="67">
        <f t="shared" si="494"/>
        <v>-1.5596810001952965</v>
      </c>
      <c r="Y554" t="str">
        <f t="shared" si="481"/>
        <v>-334,876774559858+156,099230921409i</v>
      </c>
      <c r="Z554" s="67">
        <f t="shared" si="495"/>
        <v>369.47181764495826</v>
      </c>
      <c r="AA554" s="67">
        <f t="shared" si="496"/>
        <v>2.7053986240137533</v>
      </c>
      <c r="AB554" s="92" t="str">
        <f t="shared" si="497"/>
        <v>-0,0400118521436792+0,083886821315604i</v>
      </c>
      <c r="AC554" s="37">
        <f t="shared" si="498"/>
        <v>-20.635894598398647</v>
      </c>
      <c r="AD554" s="60">
        <f t="shared" si="499"/>
        <v>115.49993927209313</v>
      </c>
      <c r="AE554" t="str">
        <f t="shared" si="500"/>
        <v>21,0353732052265</v>
      </c>
      <c r="AF554" t="str">
        <f t="shared" si="482"/>
        <v>1+7772,7308273443i</v>
      </c>
      <c r="AG554">
        <f t="shared" si="501"/>
        <v>7772.7308916717566</v>
      </c>
      <c r="AH554">
        <f t="shared" si="502"/>
        <v>1.5706676718836825</v>
      </c>
      <c r="AI554" t="str">
        <f t="shared" si="483"/>
        <v>1+431,818379296905i</v>
      </c>
      <c r="AJ554">
        <f t="shared" si="503"/>
        <v>431.81953718955992</v>
      </c>
      <c r="AK554">
        <f t="shared" si="504"/>
        <v>1.5684805425200155</v>
      </c>
      <c r="AL554" t="str">
        <f t="shared" si="484"/>
        <v>1-29,3815191898062i</v>
      </c>
      <c r="AM554">
        <f t="shared" si="505"/>
        <v>29.398531764374731</v>
      </c>
      <c r="AN554">
        <f t="shared" si="506"/>
        <v>-1.5367744596947193</v>
      </c>
      <c r="AO554" s="58" t="str">
        <f t="shared" si="507"/>
        <v>1,09353436742951-34,3387445874136i</v>
      </c>
      <c r="AP554">
        <f t="shared" si="508"/>
        <v>30.720090372533711</v>
      </c>
      <c r="AQ554" s="60">
        <f t="shared" si="509"/>
        <v>-88.176003885792113</v>
      </c>
      <c r="AR554" t="str">
        <f t="shared" si="485"/>
        <v>-1,05811623246493</v>
      </c>
      <c r="AS554" t="str">
        <f t="shared" si="486"/>
        <v>1+425,60019463503i</v>
      </c>
      <c r="AT554">
        <f t="shared" si="510"/>
        <v>425.60136944490137</v>
      </c>
      <c r="AU554">
        <f t="shared" si="511"/>
        <v>1.5684467081331361</v>
      </c>
      <c r="AV554" t="str">
        <f t="shared" si="487"/>
        <v>1+425,60019463503i</v>
      </c>
      <c r="AW554">
        <f t="shared" si="512"/>
        <v>425.60136944490137</v>
      </c>
      <c r="AX554">
        <f t="shared" si="513"/>
        <v>1.5684467081331361</v>
      </c>
      <c r="AY554" t="str">
        <f t="shared" si="488"/>
        <v>1-0,0000598085850885802i</v>
      </c>
      <c r="AZ554">
        <f t="shared" si="514"/>
        <v>1.0000000017885333</v>
      </c>
      <c r="BA554">
        <f t="shared" si="515"/>
        <v>-5.98085850172671E-5</v>
      </c>
      <c r="BB554" s="58" t="str">
        <f t="shared" si="516"/>
        <v>-5,69284610542262E-06+0,00248616084521812i</v>
      </c>
      <c r="BC554">
        <f t="shared" si="517"/>
        <v>-52.089392780370794</v>
      </c>
      <c r="BD554" s="60">
        <f t="shared" si="518"/>
        <v>90.13119645328392</v>
      </c>
      <c r="BE554" s="58" t="str">
        <f t="shared" si="519"/>
        <v>-0,000208328349268017-0,0000999534549082948i</v>
      </c>
      <c r="BF554" s="37">
        <f t="shared" si="520"/>
        <v>-72.725287378769423</v>
      </c>
      <c r="BG554" s="60">
        <f t="shared" si="521"/>
        <v>-154.36886427462298</v>
      </c>
      <c r="BH554" s="58" t="str">
        <f t="shared" si="522"/>
        <v>0,0853654169443086+0,00291418751559317i</v>
      </c>
      <c r="BI554" s="37">
        <f t="shared" si="523"/>
        <v>-21.369302407837083</v>
      </c>
      <c r="BJ554" s="60">
        <f t="shared" si="524"/>
        <v>1.9551925674918122</v>
      </c>
      <c r="BK554">
        <f t="shared" si="525"/>
        <v>-72.725287378769423</v>
      </c>
      <c r="BL554" s="60">
        <f t="shared" si="526"/>
        <v>-154.36886427462298</v>
      </c>
      <c r="BN554">
        <f t="shared" si="527"/>
        <v>0</v>
      </c>
      <c r="BO554">
        <f t="shared" si="528"/>
        <v>0</v>
      </c>
    </row>
    <row r="555" spans="13:67" x14ac:dyDescent="0.25">
      <c r="M555" s="66">
        <v>37</v>
      </c>
      <c r="N555" s="36">
        <f t="shared" si="476"/>
        <v>2344228.8153199251</v>
      </c>
      <c r="O555" s="91" t="str">
        <f t="shared" si="477"/>
        <v>13,7404580152672</v>
      </c>
      <c r="P555" s="67" t="str">
        <f t="shared" si="478"/>
        <v>1+15907,561973012i</v>
      </c>
      <c r="Q555" s="67">
        <f t="shared" si="489"/>
        <v>15907.562004443591</v>
      </c>
      <c r="R555" s="67">
        <f t="shared" si="490"/>
        <v>1.570733463610684</v>
      </c>
      <c r="S555" s="67" t="str">
        <f t="shared" si="479"/>
        <v>1+441,876721472556i</v>
      </c>
      <c r="T555" s="67">
        <f t="shared" si="491"/>
        <v>441.87785300842455</v>
      </c>
      <c r="U555" s="67">
        <f t="shared" si="492"/>
        <v>1.5685332560237009</v>
      </c>
      <c r="V555" t="str">
        <f t="shared" si="480"/>
        <v>1-92,0576503067825i</v>
      </c>
      <c r="W555" s="67">
        <f t="shared" si="493"/>
        <v>92.063081525690052</v>
      </c>
      <c r="X555" s="67">
        <f t="shared" si="494"/>
        <v>-1.5599339957851444</v>
      </c>
      <c r="Y555" t="str">
        <f t="shared" si="481"/>
        <v>-350,706159268883+159,735249102293i</v>
      </c>
      <c r="Z555" s="67">
        <f t="shared" si="495"/>
        <v>385.37015965809121</v>
      </c>
      <c r="AA555" s="67">
        <f t="shared" si="496"/>
        <v>2.7142012850483499</v>
      </c>
      <c r="AB555" s="92" t="str">
        <f t="shared" si="497"/>
        <v>-0,0385119695937697+0,0826493420868244i</v>
      </c>
      <c r="AC555" s="37">
        <f t="shared" si="498"/>
        <v>-20.801855110505237</v>
      </c>
      <c r="AD555" s="60">
        <f t="shared" si="499"/>
        <v>114.98402473149112</v>
      </c>
      <c r="AE555" t="str">
        <f t="shared" si="500"/>
        <v>21,0353732052265</v>
      </c>
      <c r="AF555" t="str">
        <f t="shared" si="482"/>
        <v>1+7953,78098650602i</v>
      </c>
      <c r="AG555">
        <f t="shared" si="501"/>
        <v>7953.7810493692032</v>
      </c>
      <c r="AH555">
        <f t="shared" si="502"/>
        <v>1.5706706004269684</v>
      </c>
      <c r="AI555" t="str">
        <f t="shared" si="483"/>
        <v>1+441,876721472556i</v>
      </c>
      <c r="AJ555">
        <f t="shared" si="503"/>
        <v>441.87785300842455</v>
      </c>
      <c r="AK555">
        <f t="shared" si="504"/>
        <v>1.5685332560237009</v>
      </c>
      <c r="AL555" t="str">
        <f t="shared" si="484"/>
        <v>1-30,0659026894912i</v>
      </c>
      <c r="AM555">
        <f t="shared" si="505"/>
        <v>30.08252822709478</v>
      </c>
      <c r="AN555">
        <f t="shared" si="506"/>
        <v>-1.5375483147063644</v>
      </c>
      <c r="AO555" s="58" t="str">
        <f t="shared" si="507"/>
        <v>1,0935343525735-35,1384785386191i</v>
      </c>
      <c r="AP555">
        <f t="shared" si="508"/>
        <v>30.919863160958986</v>
      </c>
      <c r="AQ555" s="60">
        <f t="shared" si="509"/>
        <v>-88.217490043800296</v>
      </c>
      <c r="AR555" t="str">
        <f t="shared" si="485"/>
        <v>-1,05811623246493</v>
      </c>
      <c r="AS555" t="str">
        <f t="shared" si="486"/>
        <v>1+435,513696683351i</v>
      </c>
      <c r="AT555">
        <f t="shared" si="510"/>
        <v>435.51484475135612</v>
      </c>
      <c r="AU555">
        <f t="shared" si="511"/>
        <v>1.5685001917933963</v>
      </c>
      <c r="AV555" t="str">
        <f t="shared" si="487"/>
        <v>1+435,513696683351i</v>
      </c>
      <c r="AW555">
        <f t="shared" si="512"/>
        <v>435.51484475135612</v>
      </c>
      <c r="AX555">
        <f t="shared" si="513"/>
        <v>1.5685001917933963</v>
      </c>
      <c r="AY555" t="str">
        <f t="shared" si="488"/>
        <v>1-0,0000584471754812632i</v>
      </c>
      <c r="AZ555">
        <f t="shared" si="514"/>
        <v>1.0000000017080362</v>
      </c>
      <c r="BA555">
        <f t="shared" si="515"/>
        <v>-5.8447175414709936E-5</v>
      </c>
      <c r="BB555" s="58" t="str">
        <f t="shared" si="516"/>
        <v>-5,43662717489101E-06+0,0024295695035444i</v>
      </c>
      <c r="BC555">
        <f t="shared" si="517"/>
        <v>-52.289391701968228</v>
      </c>
      <c r="BD555" s="60">
        <f t="shared" si="518"/>
        <v>90.128210068302508</v>
      </c>
      <c r="BE555" s="58" t="str">
        <f t="shared" si="519"/>
        <v>-0,000200592945801705-0,0000940168405056282i</v>
      </c>
      <c r="BF555" s="37">
        <f t="shared" si="520"/>
        <v>-73.091246812473457</v>
      </c>
      <c r="BG555" s="60">
        <f t="shared" si="521"/>
        <v>-154.88776520020636</v>
      </c>
      <c r="BH555" s="58" t="str">
        <f t="shared" si="522"/>
        <v>0,0853654307198005+0,00284785252139813i</v>
      </c>
      <c r="BI555" s="37">
        <f t="shared" si="523"/>
        <v>-21.369528541009227</v>
      </c>
      <c r="BJ555" s="60">
        <f t="shared" si="524"/>
        <v>1.9107200245022176</v>
      </c>
      <c r="BK555">
        <f t="shared" si="525"/>
        <v>-73.091246812473457</v>
      </c>
      <c r="BL555" s="60">
        <f t="shared" si="526"/>
        <v>-154.88776520020636</v>
      </c>
      <c r="BN555">
        <f t="shared" si="527"/>
        <v>0</v>
      </c>
      <c r="BO555">
        <f t="shared" si="528"/>
        <v>0</v>
      </c>
    </row>
    <row r="556" spans="13:67" x14ac:dyDescent="0.25">
      <c r="M556" s="66">
        <v>38</v>
      </c>
      <c r="N556" s="36">
        <f t="shared" si="476"/>
        <v>2398832.9190194933</v>
      </c>
      <c r="O556" s="91" t="str">
        <f t="shared" si="477"/>
        <v>13,7404580152672</v>
      </c>
      <c r="P556" s="67" t="str">
        <f t="shared" si="478"/>
        <v>1+16278,096691255i</v>
      </c>
      <c r="Q556" s="67">
        <f t="shared" si="489"/>
        <v>16278.096721971118</v>
      </c>
      <c r="R556" s="67">
        <f t="shared" si="490"/>
        <v>1.5707348945514525</v>
      </c>
      <c r="S556" s="67" t="str">
        <f t="shared" si="479"/>
        <v>1+452,16935253486i</v>
      </c>
      <c r="T556" s="67">
        <f t="shared" si="491"/>
        <v>452.17045831389129</v>
      </c>
      <c r="U556" s="67">
        <f t="shared" si="492"/>
        <v>1.5685847696337023</v>
      </c>
      <c r="V556" t="str">
        <f t="shared" si="480"/>
        <v>1-94,2019484447625i</v>
      </c>
      <c r="W556" s="67">
        <f t="shared" si="493"/>
        <v>94.20725604108047</v>
      </c>
      <c r="X556" s="67">
        <f t="shared" si="494"/>
        <v>-1.5601812338359859</v>
      </c>
      <c r="Y556" t="str">
        <f t="shared" si="481"/>
        <v>-367,281559895782+163,455961026596i</v>
      </c>
      <c r="Z556" s="67">
        <f t="shared" si="495"/>
        <v>402.01193444300503</v>
      </c>
      <c r="AA556" s="67">
        <f t="shared" si="496"/>
        <v>2.7228688971968791</v>
      </c>
      <c r="AB556" s="92" t="str">
        <f t="shared" si="497"/>
        <v>-0,0370573690644057+0,0814049028172297i</v>
      </c>
      <c r="AC556" s="37">
        <f t="shared" si="498"/>
        <v>-20.969096436050258</v>
      </c>
      <c r="AD556" s="60">
        <f t="shared" si="499"/>
        <v>114.47611096564955</v>
      </c>
      <c r="AE556" t="str">
        <f t="shared" si="500"/>
        <v>21,0353732052265</v>
      </c>
      <c r="AF556" t="str">
        <f t="shared" si="482"/>
        <v>1+8139,04834562749i</v>
      </c>
      <c r="AG556">
        <f t="shared" si="501"/>
        <v>8139.0484070597322</v>
      </c>
      <c r="AH556">
        <f t="shared" si="502"/>
        <v>1.5706734623084724</v>
      </c>
      <c r="AI556" t="str">
        <f t="shared" si="483"/>
        <v>1+452,16935253486i</v>
      </c>
      <c r="AJ556">
        <f t="shared" si="503"/>
        <v>452.17045831389129</v>
      </c>
      <c r="AK556">
        <f t="shared" si="504"/>
        <v>1.5685847696337023</v>
      </c>
      <c r="AL556" t="str">
        <f t="shared" si="484"/>
        <v>1-30,7662275287514i</v>
      </c>
      <c r="AM556">
        <f t="shared" si="505"/>
        <v>30.78247482498606</v>
      </c>
      <c r="AN556">
        <f t="shared" si="506"/>
        <v>-1.5383045931221981</v>
      </c>
      <c r="AO556" s="58" t="str">
        <f t="shared" si="507"/>
        <v>1,09353433838613-35,9568433762585i</v>
      </c>
      <c r="AP556">
        <f t="shared" si="508"/>
        <v>31.119646164594108</v>
      </c>
      <c r="AQ556" s="60">
        <f t="shared" si="509"/>
        <v>-88.258034066455494</v>
      </c>
      <c r="AR556" t="str">
        <f t="shared" si="485"/>
        <v>-1,05811623246493</v>
      </c>
      <c r="AS556" t="str">
        <f t="shared" si="486"/>
        <v>1+445,658113858358i</v>
      </c>
      <c r="AT556">
        <f t="shared" si="510"/>
        <v>445.65923579321139</v>
      </c>
      <c r="AU556">
        <f t="shared" si="511"/>
        <v>1.5685524580296091</v>
      </c>
      <c r="AV556" t="str">
        <f t="shared" si="487"/>
        <v>1+445,658113858358i</v>
      </c>
      <c r="AW556">
        <f t="shared" si="512"/>
        <v>445.65923579321139</v>
      </c>
      <c r="AX556">
        <f t="shared" si="513"/>
        <v>1.5685524580296091</v>
      </c>
      <c r="AY556" t="str">
        <f t="shared" si="488"/>
        <v>1-0,0000571167553400263i</v>
      </c>
      <c r="AZ556">
        <f t="shared" si="514"/>
        <v>1.0000000016311619</v>
      </c>
      <c r="BA556">
        <f t="shared" si="515"/>
        <v>-5.7116755277915181E-5</v>
      </c>
      <c r="BB556" s="58" t="str">
        <f t="shared" si="516"/>
        <v>-5,19193987697533E-06+0,00237426629880983i</v>
      </c>
      <c r="BC556">
        <f t="shared" si="517"/>
        <v>-52.489390672101514</v>
      </c>
      <c r="BD556" s="60">
        <f t="shared" si="518"/>
        <v>90.125291661015297</v>
      </c>
      <c r="BE556" s="58" t="str">
        <f t="shared" si="519"/>
        <v>-0,000193084517684657-0,0000884067118532945i</v>
      </c>
      <c r="BF556" s="37">
        <f t="shared" si="520"/>
        <v>-73.458487108151758</v>
      </c>
      <c r="BG556" s="60">
        <f t="shared" si="521"/>
        <v>-155.39859737333518</v>
      </c>
      <c r="BH556" s="58" t="str">
        <f t="shared" si="522"/>
        <v>0,0853654438752957+0,00278302749519685i</v>
      </c>
      <c r="BI556" s="37">
        <f t="shared" si="523"/>
        <v>-21.369744507507406</v>
      </c>
      <c r="BJ556" s="60">
        <f t="shared" si="524"/>
        <v>1.8672575945598213</v>
      </c>
      <c r="BK556">
        <f t="shared" si="525"/>
        <v>-73.458487108151758</v>
      </c>
      <c r="BL556" s="60">
        <f t="shared" si="526"/>
        <v>-155.39859737333518</v>
      </c>
      <c r="BN556">
        <f t="shared" si="527"/>
        <v>0</v>
      </c>
      <c r="BO556">
        <f t="shared" si="528"/>
        <v>0</v>
      </c>
    </row>
    <row r="557" spans="13:67" x14ac:dyDescent="0.25">
      <c r="M557" s="66">
        <v>39</v>
      </c>
      <c r="N557" s="36">
        <f t="shared" si="476"/>
        <v>2454708.915685033</v>
      </c>
      <c r="O557" s="91" t="str">
        <f t="shared" si="477"/>
        <v>13,7404580152672</v>
      </c>
      <c r="P557" s="67" t="str">
        <f t="shared" si="478"/>
        <v>1+16657,2622718297i</v>
      </c>
      <c r="Q557" s="67">
        <f t="shared" si="489"/>
        <v>16657.262301846633</v>
      </c>
      <c r="R557" s="67">
        <f t="shared" si="490"/>
        <v>1.570736292920033</v>
      </c>
      <c r="S557" s="67" t="str">
        <f t="shared" si="479"/>
        <v>1+462,701729773047i</v>
      </c>
      <c r="T557" s="67">
        <f t="shared" si="491"/>
        <v>462.70281038153399</v>
      </c>
      <c r="U557" s="67">
        <f t="shared" si="492"/>
        <v>1.568635110662123</v>
      </c>
      <c r="V557" t="str">
        <f t="shared" si="480"/>
        <v>1-96,3961937027181i</v>
      </c>
      <c r="W557" s="67">
        <f t="shared" si="493"/>
        <v>96.401380489969895</v>
      </c>
      <c r="X557" s="67">
        <f t="shared" si="494"/>
        <v>-1.5604228453157365</v>
      </c>
      <c r="Y557" t="str">
        <f t="shared" si="481"/>
        <v>-384,638135087589+167,263339465032i</v>
      </c>
      <c r="Z557" s="67">
        <f t="shared" si="495"/>
        <v>419.43237797367624</v>
      </c>
      <c r="AA557" s="67">
        <f t="shared" si="496"/>
        <v>2.7314011019178475</v>
      </c>
      <c r="AB557" s="92" t="str">
        <f t="shared" si="497"/>
        <v>-0,0356475036861779+0,0801551475069212i</v>
      </c>
      <c r="AC557" s="37">
        <f t="shared" si="498"/>
        <v>-21.137579547344174</v>
      </c>
      <c r="AD557" s="60">
        <f t="shared" si="499"/>
        <v>113.97621253497191</v>
      </c>
      <c r="AE557" t="str">
        <f t="shared" si="500"/>
        <v>21,0353732052265</v>
      </c>
      <c r="AF557" t="str">
        <f t="shared" si="482"/>
        <v>1+8328,63113591485i</v>
      </c>
      <c r="AG557">
        <f t="shared" si="501"/>
        <v>8328.6311959487248</v>
      </c>
      <c r="AH557">
        <f t="shared" si="502"/>
        <v>1.570676259045602</v>
      </c>
      <c r="AI557" t="str">
        <f t="shared" si="483"/>
        <v>1+462,701729773047i</v>
      </c>
      <c r="AJ557">
        <f t="shared" si="503"/>
        <v>462.70281038153399</v>
      </c>
      <c r="AK557">
        <f t="shared" si="504"/>
        <v>1.568635110662123</v>
      </c>
      <c r="AL557" t="str">
        <f t="shared" si="484"/>
        <v>1-31,4828650290864i</v>
      </c>
      <c r="AM557">
        <f t="shared" si="505"/>
        <v>31.498742680298708</v>
      </c>
      <c r="AN557">
        <f t="shared" si="506"/>
        <v>-1.5390436924685984</v>
      </c>
      <c r="AO557" s="58" t="str">
        <f t="shared" si="507"/>
        <v>1,09353432483729-36,7942730082008i</v>
      </c>
      <c r="AP557">
        <f t="shared" si="508"/>
        <v>31.319438924645326</v>
      </c>
      <c r="AQ557" s="60">
        <f t="shared" si="509"/>
        <v>-88.297657252414183</v>
      </c>
      <c r="AR557" t="str">
        <f t="shared" si="485"/>
        <v>-1,05811623246493</v>
      </c>
      <c r="AS557" t="str">
        <f t="shared" si="486"/>
        <v>1+456,038824864315i</v>
      </c>
      <c r="AT557">
        <f t="shared" si="510"/>
        <v>456.03992126087536</v>
      </c>
      <c r="AU557">
        <f t="shared" si="511"/>
        <v>1.5686035345528815</v>
      </c>
      <c r="AV557" t="str">
        <f t="shared" si="487"/>
        <v>1+456,038824864315i</v>
      </c>
      <c r="AW557">
        <f t="shared" si="512"/>
        <v>456.03992126087536</v>
      </c>
      <c r="AX557">
        <f t="shared" si="513"/>
        <v>1.5686035345528815</v>
      </c>
      <c r="AY557" t="str">
        <f t="shared" si="488"/>
        <v>1-0,0000558166192585004i</v>
      </c>
      <c r="AZ557">
        <f t="shared" si="514"/>
        <v>1.0000000015577475</v>
      </c>
      <c r="BA557">
        <f t="shared" si="515"/>
        <v>-5.5816619200534931E-5</v>
      </c>
      <c r="BB557" s="58" t="str">
        <f t="shared" si="516"/>
        <v>-4,95826521317083E-06+0,00232022191205877i</v>
      </c>
      <c r="BC557">
        <f t="shared" si="517"/>
        <v>-52.689389688586232</v>
      </c>
      <c r="BD557" s="60">
        <f t="shared" si="518"/>
        <v>90.122439684109622</v>
      </c>
      <c r="BE557" s="58" t="str">
        <f t="shared" si="519"/>
        <v>-0,000185800979832398-0,0000831075496424059i</v>
      </c>
      <c r="BF557" s="37">
        <f t="shared" si="520"/>
        <v>-73.826969235930392</v>
      </c>
      <c r="BG557" s="60">
        <f t="shared" si="521"/>
        <v>-155.90134778091846</v>
      </c>
      <c r="BH557" s="58" t="str">
        <f t="shared" si="522"/>
        <v>0,0853654564386978+0,00271967806597635i</v>
      </c>
      <c r="BI557" s="37">
        <f t="shared" si="523"/>
        <v>-21.369950763940899</v>
      </c>
      <c r="BJ557" s="60">
        <f t="shared" si="524"/>
        <v>1.8247824316954331</v>
      </c>
      <c r="BK557">
        <f t="shared" si="525"/>
        <v>-73.826969235930392</v>
      </c>
      <c r="BL557" s="60">
        <f t="shared" si="526"/>
        <v>-155.90134778091846</v>
      </c>
      <c r="BN557">
        <f t="shared" si="527"/>
        <v>0</v>
      </c>
      <c r="BO557">
        <f t="shared" si="528"/>
        <v>0</v>
      </c>
    </row>
    <row r="558" spans="13:67" x14ac:dyDescent="0.25">
      <c r="M558" s="66">
        <v>40</v>
      </c>
      <c r="N558" s="36">
        <f t="shared" si="476"/>
        <v>2511886.431509587</v>
      </c>
      <c r="O558" s="91" t="str">
        <f t="shared" si="477"/>
        <v>13,7404580152672</v>
      </c>
      <c r="P558" s="67" t="str">
        <f t="shared" si="478"/>
        <v>1+17045,259753346i</v>
      </c>
      <c r="Q558" s="67">
        <f t="shared" si="489"/>
        <v>17045.259782679666</v>
      </c>
      <c r="R558" s="67">
        <f t="shared" si="490"/>
        <v>1.5707376594578584</v>
      </c>
      <c r="S558" s="67" t="str">
        <f t="shared" si="479"/>
        <v>1+473,479437592944i</v>
      </c>
      <c r="T558" s="67">
        <f t="shared" si="491"/>
        <v>473.48049360383425</v>
      </c>
      <c r="U558" s="67">
        <f t="shared" si="492"/>
        <v>1.5686843057994215</v>
      </c>
      <c r="V558" t="str">
        <f t="shared" si="480"/>
        <v>1-98,64154949853i</v>
      </c>
      <c r="W558" s="67">
        <f t="shared" si="493"/>
        <v>98.646618226226806</v>
      </c>
      <c r="X558" s="67">
        <f t="shared" si="494"/>
        <v>-1.5606589582171015</v>
      </c>
      <c r="Y558" t="str">
        <f t="shared" si="481"/>
        <v>-402,812700467326+171,159403140045i</v>
      </c>
      <c r="Z558" s="67">
        <f t="shared" si="495"/>
        <v>437.668382386752</v>
      </c>
      <c r="AA558" s="67">
        <f t="shared" si="496"/>
        <v>2.7397976956588184</v>
      </c>
      <c r="AB558" s="92" t="str">
        <f t="shared" si="497"/>
        <v>-0,0342817677462089+0,0789016525298013i</v>
      </c>
      <c r="AC558" s="37">
        <f t="shared" si="498"/>
        <v>-21.307265916583255</v>
      </c>
      <c r="AD558" s="60">
        <f t="shared" si="499"/>
        <v>113.48433525548131</v>
      </c>
      <c r="AE558" t="str">
        <f t="shared" si="500"/>
        <v>21,0353732052265</v>
      </c>
      <c r="AF558" t="str">
        <f t="shared" si="482"/>
        <v>1+8522,629876673i</v>
      </c>
      <c r="AG558">
        <f t="shared" si="501"/>
        <v>8522.6299353403374</v>
      </c>
      <c r="AH558">
        <f t="shared" si="502"/>
        <v>1.5706789921212241</v>
      </c>
      <c r="AI558" t="str">
        <f t="shared" si="483"/>
        <v>1+473,479437592944i</v>
      </c>
      <c r="AJ558">
        <f t="shared" si="503"/>
        <v>473.48049360383425</v>
      </c>
      <c r="AK558">
        <f t="shared" si="504"/>
        <v>1.5686843057994215</v>
      </c>
      <c r="AL558" t="str">
        <f t="shared" si="484"/>
        <v>1-32,2161951611851i</v>
      </c>
      <c r="AM558">
        <f t="shared" si="505"/>
        <v>32.231711568943503</v>
      </c>
      <c r="AN558">
        <f t="shared" si="506"/>
        <v>-1.539766001394006</v>
      </c>
      <c r="AO558" s="58" t="str">
        <f t="shared" si="507"/>
        <v>1,09353431189825-37,6512114507219i</v>
      </c>
      <c r="AP558">
        <f t="shared" si="508"/>
        <v>31.519241002883241</v>
      </c>
      <c r="AQ558" s="60">
        <f t="shared" si="509"/>
        <v>-88.336380425303133</v>
      </c>
      <c r="AR558" t="str">
        <f t="shared" si="485"/>
        <v>-1,05811623246493</v>
      </c>
      <c r="AS558" t="str">
        <f t="shared" si="486"/>
        <v>1+466,661333691606i</v>
      </c>
      <c r="AT558">
        <f t="shared" si="510"/>
        <v>466.66240513119163</v>
      </c>
      <c r="AU558">
        <f t="shared" si="511"/>
        <v>1.5686534484435957</v>
      </c>
      <c r="AV558" t="str">
        <f t="shared" si="487"/>
        <v>1+466,661333691606i</v>
      </c>
      <c r="AW558">
        <f t="shared" si="512"/>
        <v>466.66240513119163</v>
      </c>
      <c r="AX558">
        <f t="shared" si="513"/>
        <v>1.5686534484435957</v>
      </c>
      <c r="AY558" t="str">
        <f t="shared" si="488"/>
        <v>1-0,0000545460778873253i</v>
      </c>
      <c r="AZ558">
        <f t="shared" si="514"/>
        <v>1.0000000014876373</v>
      </c>
      <c r="BA558">
        <f t="shared" si="515"/>
        <v>-5.4546077833228783E-5</v>
      </c>
      <c r="BB558" s="58" t="str">
        <f t="shared" si="516"/>
        <v>-0,0000047351075428331+0,00226740769154155i</v>
      </c>
      <c r="BC558">
        <f t="shared" si="517"/>
        <v>-52.88938874933627</v>
      </c>
      <c r="BD558" s="60">
        <f t="shared" si="518"/>
        <v>90.119652625490659</v>
      </c>
      <c r="BE558" s="58" t="str">
        <f t="shared" si="519"/>
        <v>-0,000178739885964374-0,0000781043516774309i</v>
      </c>
      <c r="BF558" s="37">
        <f t="shared" si="520"/>
        <v>-74.196654665919496</v>
      </c>
      <c r="BG558" s="60">
        <f t="shared" si="521"/>
        <v>-156.39601211902809</v>
      </c>
      <c r="BH558" s="58" t="str">
        <f t="shared" si="522"/>
        <v>0,0853654684366555+0,00265777064509981i</v>
      </c>
      <c r="BI558" s="37">
        <f t="shared" si="523"/>
        <v>-21.370147746453021</v>
      </c>
      <c r="BJ558" s="60">
        <f t="shared" si="524"/>
        <v>1.7832722001875299</v>
      </c>
      <c r="BK558">
        <f t="shared" si="525"/>
        <v>-74.196654665919496</v>
      </c>
      <c r="BL558" s="60">
        <f t="shared" si="526"/>
        <v>-156.39601211902809</v>
      </c>
      <c r="BN558">
        <f t="shared" si="527"/>
        <v>0</v>
      </c>
      <c r="BO558">
        <f t="shared" si="528"/>
        <v>0</v>
      </c>
    </row>
    <row r="559" spans="13:67" x14ac:dyDescent="0.25">
      <c r="M559" s="66">
        <v>41</v>
      </c>
      <c r="N559" s="36">
        <f t="shared" si="476"/>
        <v>2570395.782768866</v>
      </c>
      <c r="O559" s="91" t="str">
        <f t="shared" si="477"/>
        <v>13,7404580152672</v>
      </c>
      <c r="P559" s="67" t="str">
        <f t="shared" si="478"/>
        <v>1+17442,2948572041i</v>
      </c>
      <c r="Q559" s="67">
        <f t="shared" si="489"/>
        <v>17442.294885870051</v>
      </c>
      <c r="R559" s="67">
        <f t="shared" si="490"/>
        <v>1.5707389948894857</v>
      </c>
      <c r="S559" s="67" t="str">
        <f t="shared" si="479"/>
        <v>1+484,508190477892i</v>
      </c>
      <c r="T559" s="67">
        <f t="shared" si="491"/>
        <v>484.50922245109155</v>
      </c>
      <c r="U559" s="67">
        <f t="shared" si="492"/>
        <v>1.5687323811285581</v>
      </c>
      <c r="V559" t="str">
        <f t="shared" si="480"/>
        <v>1-100,939206349561i</v>
      </c>
      <c r="W559" s="67">
        <f t="shared" si="493"/>
        <v>100.94415970465678</v>
      </c>
      <c r="X559" s="67">
        <f t="shared" si="494"/>
        <v>-1.5608896976249007</v>
      </c>
      <c r="Y559" t="str">
        <f t="shared" si="481"/>
        <v>-421,843806724862+175,146217796164i</v>
      </c>
      <c r="Z559" s="67">
        <f t="shared" si="495"/>
        <v>456.75857395392597</v>
      </c>
      <c r="AA559" s="67">
        <f t="shared" si="496"/>
        <v>2.7480586231779571</v>
      </c>
      <c r="AB559" s="92" t="str">
        <f t="shared" si="497"/>
        <v>-0,0329595021901401+0,0776459255356198i</v>
      </c>
      <c r="AC559" s="37">
        <f t="shared" si="498"/>
        <v>-21.478117564490802</v>
      </c>
      <c r="AD559" s="60">
        <f t="shared" si="499"/>
        <v>113.00047657839914</v>
      </c>
      <c r="AE559" t="str">
        <f t="shared" si="500"/>
        <v>21,0353732052265</v>
      </c>
      <c r="AF559" t="str">
        <f t="shared" si="482"/>
        <v>1+8721,14742860205i</v>
      </c>
      <c r="AG559">
        <f t="shared" si="501"/>
        <v>8721.1474859339542</v>
      </c>
      <c r="AH559">
        <f t="shared" si="502"/>
        <v>1.5706816629844516</v>
      </c>
      <c r="AI559" t="str">
        <f t="shared" si="483"/>
        <v>1+484,508190477892i</v>
      </c>
      <c r="AJ559">
        <f t="shared" si="503"/>
        <v>484.50922245109155</v>
      </c>
      <c r="AK559">
        <f t="shared" si="504"/>
        <v>1.5687323811285581</v>
      </c>
      <c r="AL559" t="str">
        <f t="shared" si="484"/>
        <v>1-32,9666067463898i</v>
      </c>
      <c r="AM559">
        <f t="shared" si="505"/>
        <v>32.981770121858432</v>
      </c>
      <c r="AN559">
        <f t="shared" si="506"/>
        <v>-1.5404718998596465</v>
      </c>
      <c r="AO559" s="58" t="str">
        <f t="shared" si="507"/>
        <v>1,09353429954157-38,5281130639266i</v>
      </c>
      <c r="AP559">
        <f t="shared" si="508"/>
        <v>31.719051980724409</v>
      </c>
      <c r="AQ559" s="60">
        <f t="shared" si="509"/>
        <v>-88.374223943881447</v>
      </c>
      <c r="AR559" t="str">
        <f t="shared" si="485"/>
        <v>-1,05811623246493</v>
      </c>
      <c r="AS559" t="str">
        <f t="shared" si="486"/>
        <v>1+477,53127253501i</v>
      </c>
      <c r="AT559">
        <f t="shared" si="510"/>
        <v>477.53231958570723</v>
      </c>
      <c r="AU559">
        <f t="shared" si="511"/>
        <v>1.5687022261657619</v>
      </c>
      <c r="AV559" t="str">
        <f t="shared" si="487"/>
        <v>1+477,53127253501i</v>
      </c>
      <c r="AW559">
        <f t="shared" si="512"/>
        <v>477.53231958570723</v>
      </c>
      <c r="AX559">
        <f t="shared" si="513"/>
        <v>1.5687022261657619</v>
      </c>
      <c r="AY559" t="str">
        <f t="shared" si="488"/>
        <v>1-0,0000533044575686491i</v>
      </c>
      <c r="AZ559">
        <f t="shared" si="514"/>
        <v>1.0000000014206825</v>
      </c>
      <c r="BA559">
        <f t="shared" si="515"/>
        <v>-5.3304457518163285E-5</v>
      </c>
      <c r="BB559" s="58" t="str">
        <f t="shared" si="516"/>
        <v>-4,52199353198235E-06+0,00221579563753874i</v>
      </c>
      <c r="BC559">
        <f t="shared" si="517"/>
        <v>-53.089387852359245</v>
      </c>
      <c r="BD559" s="60">
        <f t="shared" si="518"/>
        <v>90.116929007480081</v>
      </c>
      <c r="BE559" s="58" t="str">
        <f t="shared" si="519"/>
        <v>-0,000171898460418763-0,0000733826355414178i</v>
      </c>
      <c r="BF559" s="37">
        <f t="shared" si="520"/>
        <v>-74.567505416850054</v>
      </c>
      <c r="BG559" s="60">
        <f t="shared" si="521"/>
        <v>-156.88259441412077</v>
      </c>
      <c r="BH559" s="58" t="str">
        <f t="shared" si="522"/>
        <v>0,0853654798946184+0,00259727240849775i</v>
      </c>
      <c r="BI559" s="37">
        <f t="shared" si="523"/>
        <v>-21.370335871634833</v>
      </c>
      <c r="BJ559" s="60">
        <f t="shared" si="524"/>
        <v>1.7427050635986396</v>
      </c>
      <c r="BK559">
        <f t="shared" si="525"/>
        <v>-74.567505416850054</v>
      </c>
      <c r="BL559" s="60">
        <f t="shared" si="526"/>
        <v>-156.88259441412077</v>
      </c>
      <c r="BN559">
        <f t="shared" si="527"/>
        <v>0</v>
      </c>
      <c r="BO559">
        <f t="shared" si="528"/>
        <v>0</v>
      </c>
    </row>
    <row r="560" spans="13:67" ht="15.75" thickBot="1" x14ac:dyDescent="0.3">
      <c r="M560" s="66">
        <v>42</v>
      </c>
      <c r="N560" s="36">
        <f t="shared" si="476"/>
        <v>2630267.9918953842</v>
      </c>
      <c r="O560" s="91" t="str">
        <f t="shared" si="477"/>
        <v>13,7404580152672</v>
      </c>
      <c r="P560" s="67" t="str">
        <f t="shared" si="478"/>
        <v>1+17848,5780966715i</v>
      </c>
      <c r="Q560" s="67">
        <f t="shared" si="489"/>
        <v>17848.578124684936</v>
      </c>
      <c r="R560" s="67">
        <f t="shared" si="490"/>
        <v>1.5707402999229778</v>
      </c>
      <c r="S560" s="67" t="str">
        <f t="shared" si="479"/>
        <v>1+495,793836018655i</v>
      </c>
      <c r="T560" s="67">
        <f t="shared" si="491"/>
        <v>495.79484450132492</v>
      </c>
      <c r="U560" s="67">
        <f t="shared" si="492"/>
        <v>1.5687793621388189</v>
      </c>
      <c r="V560" t="str">
        <f t="shared" si="480"/>
        <v>1-103,290382503886i</v>
      </c>
      <c r="W560" s="67">
        <f t="shared" si="493"/>
        <v>103.29522311219954</v>
      </c>
      <c r="X560" s="67">
        <f t="shared" si="494"/>
        <v>-1.5611151857818883</v>
      </c>
      <c r="Y560" t="str">
        <f t="shared" si="481"/>
        <v>-441,771821388119+179,225897295293i</v>
      </c>
      <c r="Z560" s="67">
        <f t="shared" si="495"/>
        <v>476.74339474593563</v>
      </c>
      <c r="AA560" s="67">
        <f t="shared" si="496"/>
        <v>2.7561839707734177</v>
      </c>
      <c r="AB560" s="97" t="str">
        <f t="shared" si="497"/>
        <v>-0,0316799999875011+0,0763894047559748i</v>
      </c>
      <c r="AC560" s="64">
        <f t="shared" si="498"/>
        <v>-21.650097104245095</v>
      </c>
      <c r="AD560" s="63">
        <f t="shared" si="499"/>
        <v>112.52462597507089</v>
      </c>
      <c r="AE560" t="str">
        <f t="shared" si="500"/>
        <v>21,0353732052265</v>
      </c>
      <c r="AF560" t="str">
        <f t="shared" si="482"/>
        <v>1+8924,28904833578i</v>
      </c>
      <c r="AG560">
        <f t="shared" si="501"/>
        <v>8924.2891043626532</v>
      </c>
      <c r="AH560">
        <f t="shared" si="502"/>
        <v>1.570684273051411</v>
      </c>
      <c r="AI560" t="str">
        <f t="shared" si="483"/>
        <v>1+495,793836018655i</v>
      </c>
      <c r="AJ560">
        <f t="shared" si="503"/>
        <v>495.79484450132492</v>
      </c>
      <c r="AK560">
        <f t="shared" si="504"/>
        <v>1.5687793621388189</v>
      </c>
      <c r="AL560" t="str">
        <f t="shared" si="484"/>
        <v>1-33,734497662856i</v>
      </c>
      <c r="AM560">
        <f t="shared" si="505"/>
        <v>33.749316031072937</v>
      </c>
      <c r="AN560">
        <f t="shared" si="506"/>
        <v>-1.5411617593266682</v>
      </c>
      <c r="AO560" s="61" t="str">
        <f t="shared" si="507"/>
        <v>1,09353428774103-39,4254427926575i</v>
      </c>
      <c r="AP560" s="62">
        <f t="shared" si="508"/>
        <v>31.918871458354197</v>
      </c>
      <c r="AQ560" s="63">
        <f t="shared" si="509"/>
        <v>-88.411207712014757</v>
      </c>
      <c r="AR560" t="str">
        <f t="shared" si="485"/>
        <v>-1,05811623246493</v>
      </c>
      <c r="AS560" t="str">
        <f t="shared" si="486"/>
        <v>1+488,654404779986i</v>
      </c>
      <c r="AT560">
        <f t="shared" si="510"/>
        <v>488.65542799694998</v>
      </c>
      <c r="AU560">
        <f t="shared" si="511"/>
        <v>1.5687498935810451</v>
      </c>
      <c r="AV560" t="str">
        <f t="shared" si="487"/>
        <v>1+488,654404779986i</v>
      </c>
      <c r="AW560">
        <f t="shared" si="512"/>
        <v>488.65542799694998</v>
      </c>
      <c r="AX560">
        <f t="shared" si="513"/>
        <v>1.5687498935810451</v>
      </c>
      <c r="AY560" t="str">
        <f t="shared" si="488"/>
        <v>1-0,0000520910999789437i</v>
      </c>
      <c r="AZ560">
        <f t="shared" si="514"/>
        <v>1.0000000013567414</v>
      </c>
      <c r="BA560">
        <f t="shared" si="515"/>
        <v>-5.2091099931827604E-5</v>
      </c>
      <c r="BB560" s="58" t="str">
        <f t="shared" si="516"/>
        <v>-4,31847114941155E-06+0,00216535838752991i</v>
      </c>
      <c r="BC560" s="62">
        <f t="shared" si="517"/>
        <v>-53.289386995752714</v>
      </c>
      <c r="BD560" s="63">
        <f t="shared" si="518"/>
        <v>90.114267386032793</v>
      </c>
      <c r="BE560" s="61" t="str">
        <f t="shared" si="519"/>
        <v>-0,000165273629140808-0,0000689284391304424i</v>
      </c>
      <c r="BF560" s="64">
        <f t="shared" si="520"/>
        <v>-74.939484099997799</v>
      </c>
      <c r="BG560" s="63">
        <f t="shared" si="521"/>
        <v>-157.3611066388963</v>
      </c>
      <c r="BH560" s="61" t="str">
        <f t="shared" si="522"/>
        <v>0,0853654908368891+0,00253815127926445i</v>
      </c>
      <c r="BI560" s="64">
        <f t="shared" si="523"/>
        <v>-21.370515537398511</v>
      </c>
      <c r="BJ560" s="63">
        <f t="shared" si="524"/>
        <v>1.7030596740180435</v>
      </c>
      <c r="BK560">
        <f t="shared" si="525"/>
        <v>-74.939484099997799</v>
      </c>
      <c r="BL560" s="60">
        <f t="shared" si="526"/>
        <v>-157.3611066388963</v>
      </c>
    </row>
  </sheetData>
  <mergeCells count="44">
    <mergeCell ref="BK16:BL16"/>
    <mergeCell ref="P17:R17"/>
    <mergeCell ref="S17:U17"/>
    <mergeCell ref="V17:X17"/>
    <mergeCell ref="Y17:AA17"/>
    <mergeCell ref="AB17:AD17"/>
    <mergeCell ref="AF17:AH17"/>
    <mergeCell ref="AI17:AK17"/>
    <mergeCell ref="AL17:AN17"/>
    <mergeCell ref="AO17:AQ17"/>
    <mergeCell ref="AS17:AU17"/>
    <mergeCell ref="AV17:AX17"/>
    <mergeCell ref="AY17:BA17"/>
    <mergeCell ref="BB17:BD17"/>
    <mergeCell ref="BE17:BG17"/>
    <mergeCell ref="BH17:BJ17"/>
    <mergeCell ref="O16:AD16"/>
    <mergeCell ref="AE16:AQ16"/>
    <mergeCell ref="AR16:BD16"/>
    <mergeCell ref="BE16:BG16"/>
    <mergeCell ref="BH16:BJ16"/>
    <mergeCell ref="AE4:AQ4"/>
    <mergeCell ref="AF5:AH5"/>
    <mergeCell ref="AI5:AK5"/>
    <mergeCell ref="AL5:AN5"/>
    <mergeCell ref="AO5:AQ5"/>
    <mergeCell ref="AR4:BD4"/>
    <mergeCell ref="BE4:BG4"/>
    <mergeCell ref="BK4:BL4"/>
    <mergeCell ref="AS5:AU5"/>
    <mergeCell ref="AV5:AX5"/>
    <mergeCell ref="AY5:BA5"/>
    <mergeCell ref="BB5:BD5"/>
    <mergeCell ref="BE5:BG5"/>
    <mergeCell ref="BK5:BL5"/>
    <mergeCell ref="BH4:BJ4"/>
    <mergeCell ref="BH5:BJ5"/>
    <mergeCell ref="E5:K5"/>
    <mergeCell ref="O4:AD4"/>
    <mergeCell ref="P5:R5"/>
    <mergeCell ref="S5:U5"/>
    <mergeCell ref="V5:X5"/>
    <mergeCell ref="Y5:AA5"/>
    <mergeCell ref="AB5:AD5"/>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104"/>
  <sheetViews>
    <sheetView zoomScaleNormal="100" workbookViewId="0">
      <selection activeCell="H1" sqref="H1"/>
    </sheetView>
  </sheetViews>
  <sheetFormatPr baseColWidth="10" defaultColWidth="9.140625" defaultRowHeight="15" x14ac:dyDescent="0.25"/>
  <cols>
    <col min="11" max="11" width="8.85546875" customWidth="1"/>
  </cols>
  <sheetData>
    <row r="1" spans="1:14" x14ac:dyDescent="0.25">
      <c r="F1" s="34" t="s">
        <v>265</v>
      </c>
    </row>
    <row r="3" spans="1:14" s="35" customFormat="1" ht="45" x14ac:dyDescent="0.25">
      <c r="F3" s="35" t="s">
        <v>260</v>
      </c>
      <c r="G3" s="35" t="s">
        <v>268</v>
      </c>
      <c r="H3" s="35" t="s">
        <v>267</v>
      </c>
      <c r="I3" s="35" t="s">
        <v>264</v>
      </c>
      <c r="J3" s="35" t="s">
        <v>263</v>
      </c>
      <c r="K3" s="35" t="s">
        <v>266</v>
      </c>
      <c r="L3" s="35" t="s">
        <v>262</v>
      </c>
      <c r="M3" s="35" t="s">
        <v>269</v>
      </c>
      <c r="N3" s="35" t="s">
        <v>270</v>
      </c>
    </row>
    <row r="4" spans="1:14" x14ac:dyDescent="0.25">
      <c r="A4" t="s">
        <v>229</v>
      </c>
      <c r="B4" s="29">
        <f>VIN_MIN</f>
        <v>11.5</v>
      </c>
      <c r="F4">
        <v>0</v>
      </c>
      <c r="G4">
        <f t="shared" ref="G4:G35" si="0">$B$4+(F4*$B$8)</f>
        <v>11.5</v>
      </c>
      <c r="H4">
        <f t="shared" ref="H4:H35" si="1">(I4*J4)/(G4*eta)</f>
        <v>8.3256244218316375</v>
      </c>
      <c r="I4">
        <f t="shared" ref="I4:I35" si="2">VOUT</f>
        <v>18</v>
      </c>
      <c r="J4">
        <f t="shared" ref="J4:J35" si="3">IOUT_np</f>
        <v>5</v>
      </c>
      <c r="K4">
        <f t="shared" ref="K4:K35" si="4">IF((G4*(1-(G4/I4)))/(2*Lm*fsw)&gt;H4,1,2)</f>
        <v>2</v>
      </c>
      <c r="L4">
        <f t="shared" ref="L4:L35" si="5">CHOOSE(K4,SQRT((2*Lm*fsw(I4-G4)*((I4*J4)/G4))/(I4*G4)),(1-(G4/I4)))</f>
        <v>0.36111111111111116</v>
      </c>
      <c r="M4">
        <f t="shared" ref="M4:M35" si="6">G4*L4/(Lm*fsw)</f>
        <v>1.6611111111111114</v>
      </c>
      <c r="N4">
        <f>H4+(M4/2)</f>
        <v>9.1561799773871932</v>
      </c>
    </row>
    <row r="5" spans="1:14" x14ac:dyDescent="0.25">
      <c r="A5" t="s">
        <v>243</v>
      </c>
      <c r="B5" s="29">
        <f>VIN_TYP</f>
        <v>12</v>
      </c>
      <c r="F5">
        <v>1</v>
      </c>
      <c r="G5">
        <f t="shared" si="0"/>
        <v>11.51</v>
      </c>
      <c r="H5">
        <f t="shared" si="1"/>
        <v>8.3183910383200548</v>
      </c>
      <c r="I5">
        <f t="shared" si="2"/>
        <v>18</v>
      </c>
      <c r="J5">
        <f t="shared" si="3"/>
        <v>5</v>
      </c>
      <c r="K5">
        <f t="shared" si="4"/>
        <v>2</v>
      </c>
      <c r="L5">
        <f t="shared" si="5"/>
        <v>0.36055555555555552</v>
      </c>
      <c r="M5">
        <f t="shared" si="6"/>
        <v>1.6599977777777777</v>
      </c>
      <c r="N5">
        <f t="shared" ref="N5:N68" si="7">H5+(M5/2)</f>
        <v>9.1483899272089442</v>
      </c>
    </row>
    <row r="6" spans="1:14" x14ac:dyDescent="0.25">
      <c r="A6" t="s">
        <v>230</v>
      </c>
      <c r="B6" s="29">
        <f>VIN_MAX</f>
        <v>12.5</v>
      </c>
      <c r="F6">
        <v>2</v>
      </c>
      <c r="G6">
        <f t="shared" si="0"/>
        <v>11.52</v>
      </c>
      <c r="H6">
        <f t="shared" si="1"/>
        <v>8.3111702127659584</v>
      </c>
      <c r="I6">
        <f t="shared" si="2"/>
        <v>18</v>
      </c>
      <c r="J6">
        <f t="shared" si="3"/>
        <v>5</v>
      </c>
      <c r="K6">
        <f t="shared" si="4"/>
        <v>2</v>
      </c>
      <c r="L6">
        <f t="shared" si="5"/>
        <v>0.36</v>
      </c>
      <c r="M6">
        <f t="shared" si="6"/>
        <v>1.6588799999999999</v>
      </c>
      <c r="N6">
        <f t="shared" si="7"/>
        <v>9.1406102127659583</v>
      </c>
    </row>
    <row r="7" spans="1:14" x14ac:dyDescent="0.25">
      <c r="A7" t="s">
        <v>258</v>
      </c>
      <c r="B7" s="21">
        <v>100</v>
      </c>
      <c r="F7">
        <v>3</v>
      </c>
      <c r="G7">
        <f t="shared" si="0"/>
        <v>11.53</v>
      </c>
      <c r="H7">
        <f t="shared" si="1"/>
        <v>8.303961912494696</v>
      </c>
      <c r="I7">
        <f t="shared" si="2"/>
        <v>18</v>
      </c>
      <c r="J7">
        <f t="shared" si="3"/>
        <v>5</v>
      </c>
      <c r="K7">
        <f t="shared" si="4"/>
        <v>2</v>
      </c>
      <c r="L7">
        <f t="shared" si="5"/>
        <v>0.35944444444444446</v>
      </c>
      <c r="M7">
        <f t="shared" si="6"/>
        <v>1.6577577777777777</v>
      </c>
      <c r="N7">
        <f t="shared" si="7"/>
        <v>9.1328408013835851</v>
      </c>
    </row>
    <row r="8" spans="1:14" x14ac:dyDescent="0.25">
      <c r="A8" t="s">
        <v>259</v>
      </c>
      <c r="B8">
        <f>(VIN_MAX-VIN_MIN)/B7</f>
        <v>0.01</v>
      </c>
      <c r="F8">
        <v>4</v>
      </c>
      <c r="G8">
        <f t="shared" si="0"/>
        <v>11.54</v>
      </c>
      <c r="H8">
        <f t="shared" si="1"/>
        <v>8.296766104944874</v>
      </c>
      <c r="I8">
        <f t="shared" si="2"/>
        <v>18</v>
      </c>
      <c r="J8">
        <f t="shared" si="3"/>
        <v>5</v>
      </c>
      <c r="K8">
        <f t="shared" si="4"/>
        <v>2</v>
      </c>
      <c r="L8">
        <f t="shared" si="5"/>
        <v>0.35888888888888892</v>
      </c>
      <c r="M8">
        <f t="shared" si="6"/>
        <v>1.6566311111111112</v>
      </c>
      <c r="N8">
        <f t="shared" si="7"/>
        <v>9.1250816605004292</v>
      </c>
    </row>
    <row r="9" spans="1:14" x14ac:dyDescent="0.25">
      <c r="F9">
        <v>5</v>
      </c>
      <c r="G9">
        <f t="shared" si="0"/>
        <v>11.55</v>
      </c>
      <c r="H9">
        <f t="shared" si="1"/>
        <v>8.2895827576678638</v>
      </c>
      <c r="I9">
        <f t="shared" si="2"/>
        <v>18</v>
      </c>
      <c r="J9">
        <f t="shared" si="3"/>
        <v>5</v>
      </c>
      <c r="K9">
        <f t="shared" si="4"/>
        <v>2</v>
      </c>
      <c r="L9">
        <f t="shared" si="5"/>
        <v>0.35833333333333328</v>
      </c>
      <c r="M9">
        <f t="shared" si="6"/>
        <v>1.6555</v>
      </c>
      <c r="N9">
        <f t="shared" si="7"/>
        <v>9.1173327576678638</v>
      </c>
    </row>
    <row r="10" spans="1:14" x14ac:dyDescent="0.25">
      <c r="F10">
        <v>6</v>
      </c>
      <c r="G10">
        <f t="shared" si="0"/>
        <v>11.56</v>
      </c>
      <c r="H10">
        <f t="shared" si="1"/>
        <v>8.2824118383273202</v>
      </c>
      <c r="I10">
        <f t="shared" si="2"/>
        <v>18</v>
      </c>
      <c r="J10">
        <f t="shared" si="3"/>
        <v>5</v>
      </c>
      <c r="K10">
        <f t="shared" si="4"/>
        <v>2</v>
      </c>
      <c r="L10">
        <f t="shared" si="5"/>
        <v>0.35777777777777775</v>
      </c>
      <c r="M10">
        <f t="shared" si="6"/>
        <v>1.6543644444444443</v>
      </c>
      <c r="N10">
        <f t="shared" si="7"/>
        <v>9.1095940605495418</v>
      </c>
    </row>
    <row r="11" spans="1:14" x14ac:dyDescent="0.25">
      <c r="F11">
        <v>7</v>
      </c>
      <c r="G11">
        <f t="shared" si="0"/>
        <v>11.57</v>
      </c>
      <c r="H11">
        <f t="shared" si="1"/>
        <v>8.2752533146986895</v>
      </c>
      <c r="I11">
        <f t="shared" si="2"/>
        <v>18</v>
      </c>
      <c r="J11">
        <f t="shared" si="3"/>
        <v>5</v>
      </c>
      <c r="K11">
        <f t="shared" si="4"/>
        <v>2</v>
      </c>
      <c r="L11">
        <f t="shared" si="5"/>
        <v>0.35722222222222222</v>
      </c>
      <c r="M11">
        <f t="shared" si="6"/>
        <v>1.6532244444444444</v>
      </c>
      <c r="N11">
        <f t="shared" si="7"/>
        <v>9.1018655369209114</v>
      </c>
    </row>
    <row r="12" spans="1:14" x14ac:dyDescent="0.25">
      <c r="F12">
        <v>8</v>
      </c>
      <c r="G12">
        <f t="shared" si="0"/>
        <v>11.58</v>
      </c>
      <c r="H12">
        <f t="shared" si="1"/>
        <v>8.2681071546687246</v>
      </c>
      <c r="I12">
        <f t="shared" si="2"/>
        <v>18</v>
      </c>
      <c r="J12">
        <f t="shared" si="3"/>
        <v>5</v>
      </c>
      <c r="K12">
        <f t="shared" si="4"/>
        <v>2</v>
      </c>
      <c r="L12">
        <f t="shared" si="5"/>
        <v>0.35666666666666669</v>
      </c>
      <c r="M12">
        <f t="shared" si="6"/>
        <v>1.6520800000000002</v>
      </c>
      <c r="N12">
        <f t="shared" si="7"/>
        <v>9.0941471546687254</v>
      </c>
    </row>
    <row r="13" spans="1:14" x14ac:dyDescent="0.25">
      <c r="F13">
        <v>9</v>
      </c>
      <c r="G13">
        <f t="shared" si="0"/>
        <v>11.59</v>
      </c>
      <c r="H13">
        <f t="shared" si="1"/>
        <v>8.2609733262350158</v>
      </c>
      <c r="I13">
        <f t="shared" si="2"/>
        <v>18</v>
      </c>
      <c r="J13">
        <f t="shared" si="3"/>
        <v>5</v>
      </c>
      <c r="K13">
        <f t="shared" si="4"/>
        <v>2</v>
      </c>
      <c r="L13">
        <f t="shared" si="5"/>
        <v>0.35611111111111116</v>
      </c>
      <c r="M13">
        <f t="shared" si="6"/>
        <v>1.6509311111111113</v>
      </c>
      <c r="N13">
        <f t="shared" si="7"/>
        <v>9.0864388817905706</v>
      </c>
    </row>
    <row r="14" spans="1:14" x14ac:dyDescent="0.25">
      <c r="F14">
        <v>10</v>
      </c>
      <c r="G14">
        <f t="shared" si="0"/>
        <v>11.6</v>
      </c>
      <c r="H14">
        <f t="shared" si="1"/>
        <v>8.2538517975055026</v>
      </c>
      <c r="I14">
        <f t="shared" si="2"/>
        <v>18</v>
      </c>
      <c r="J14">
        <f t="shared" si="3"/>
        <v>5</v>
      </c>
      <c r="K14">
        <f t="shared" si="4"/>
        <v>2</v>
      </c>
      <c r="L14">
        <f t="shared" si="5"/>
        <v>0.35555555555555562</v>
      </c>
      <c r="M14">
        <f t="shared" si="6"/>
        <v>1.649777777777778</v>
      </c>
      <c r="N14">
        <f t="shared" si="7"/>
        <v>9.0787406863943918</v>
      </c>
    </row>
    <row r="15" spans="1:14" x14ac:dyDescent="0.25">
      <c r="F15">
        <v>11</v>
      </c>
      <c r="G15">
        <f t="shared" si="0"/>
        <v>11.61</v>
      </c>
      <c r="H15">
        <f t="shared" si="1"/>
        <v>8.2467425366980045</v>
      </c>
      <c r="I15">
        <f t="shared" si="2"/>
        <v>18</v>
      </c>
      <c r="J15">
        <f t="shared" si="3"/>
        <v>5</v>
      </c>
      <c r="K15">
        <f t="shared" si="4"/>
        <v>2</v>
      </c>
      <c r="L15">
        <f t="shared" si="5"/>
        <v>0.35499999999999998</v>
      </c>
      <c r="M15">
        <f t="shared" si="6"/>
        <v>1.6486199999999998</v>
      </c>
      <c r="N15">
        <f t="shared" si="7"/>
        <v>9.071052536698005</v>
      </c>
    </row>
    <row r="16" spans="1:14" x14ac:dyDescent="0.25">
      <c r="F16">
        <v>12</v>
      </c>
      <c r="G16">
        <f t="shared" si="0"/>
        <v>11.62</v>
      </c>
      <c r="H16">
        <f t="shared" si="1"/>
        <v>8.2396455121397452</v>
      </c>
      <c r="I16">
        <f t="shared" si="2"/>
        <v>18</v>
      </c>
      <c r="J16">
        <f t="shared" si="3"/>
        <v>5</v>
      </c>
      <c r="K16">
        <f t="shared" si="4"/>
        <v>2</v>
      </c>
      <c r="L16">
        <f t="shared" si="5"/>
        <v>0.35444444444444445</v>
      </c>
      <c r="M16">
        <f t="shared" si="6"/>
        <v>1.6474577777777779</v>
      </c>
      <c r="N16">
        <f t="shared" si="7"/>
        <v>9.0633744010286339</v>
      </c>
    </row>
    <row r="17" spans="6:14" x14ac:dyDescent="0.25">
      <c r="F17">
        <v>13</v>
      </c>
      <c r="G17">
        <f t="shared" si="0"/>
        <v>11.63</v>
      </c>
      <c r="H17">
        <f t="shared" si="1"/>
        <v>8.2325606922668815</v>
      </c>
      <c r="I17">
        <f t="shared" si="2"/>
        <v>18</v>
      </c>
      <c r="J17">
        <f t="shared" si="3"/>
        <v>5</v>
      </c>
      <c r="K17">
        <f t="shared" si="4"/>
        <v>2</v>
      </c>
      <c r="L17">
        <f t="shared" si="5"/>
        <v>0.35388888888888881</v>
      </c>
      <c r="M17">
        <f t="shared" si="6"/>
        <v>1.6462911111111107</v>
      </c>
      <c r="N17">
        <f t="shared" si="7"/>
        <v>9.055706247822437</v>
      </c>
    </row>
    <row r="18" spans="6:14" x14ac:dyDescent="0.25">
      <c r="F18">
        <v>14</v>
      </c>
      <c r="G18">
        <f t="shared" si="0"/>
        <v>11.64</v>
      </c>
      <c r="H18">
        <f t="shared" si="1"/>
        <v>8.22548804562404</v>
      </c>
      <c r="I18">
        <f t="shared" si="2"/>
        <v>18</v>
      </c>
      <c r="J18">
        <f t="shared" si="3"/>
        <v>5</v>
      </c>
      <c r="K18">
        <f t="shared" si="4"/>
        <v>2</v>
      </c>
      <c r="L18">
        <f t="shared" si="5"/>
        <v>0.35333333333333328</v>
      </c>
      <c r="M18">
        <f t="shared" si="6"/>
        <v>1.6451199999999997</v>
      </c>
      <c r="N18">
        <f t="shared" si="7"/>
        <v>9.0480480456240393</v>
      </c>
    </row>
    <row r="19" spans="6:14" x14ac:dyDescent="0.25">
      <c r="F19">
        <v>15</v>
      </c>
      <c r="G19">
        <f t="shared" si="0"/>
        <v>11.65</v>
      </c>
      <c r="H19">
        <f t="shared" si="1"/>
        <v>8.2184275408638481</v>
      </c>
      <c r="I19">
        <f t="shared" si="2"/>
        <v>18</v>
      </c>
      <c r="J19">
        <f t="shared" si="3"/>
        <v>5</v>
      </c>
      <c r="K19">
        <f t="shared" si="4"/>
        <v>2</v>
      </c>
      <c r="L19">
        <f t="shared" si="5"/>
        <v>0.35277777777777775</v>
      </c>
      <c r="M19">
        <f t="shared" si="6"/>
        <v>1.6439444444444444</v>
      </c>
      <c r="N19">
        <f t="shared" si="7"/>
        <v>9.0403997630860697</v>
      </c>
    </row>
    <row r="20" spans="6:14" x14ac:dyDescent="0.25">
      <c r="F20">
        <v>16</v>
      </c>
      <c r="G20">
        <f t="shared" si="0"/>
        <v>11.66</v>
      </c>
      <c r="H20">
        <f t="shared" si="1"/>
        <v>8.2113791467464683</v>
      </c>
      <c r="I20">
        <f t="shared" si="2"/>
        <v>18</v>
      </c>
      <c r="J20">
        <f t="shared" si="3"/>
        <v>5</v>
      </c>
      <c r="K20">
        <f t="shared" si="4"/>
        <v>2</v>
      </c>
      <c r="L20">
        <f t="shared" si="5"/>
        <v>0.35222222222222221</v>
      </c>
      <c r="M20">
        <f t="shared" si="6"/>
        <v>1.6427644444444442</v>
      </c>
      <c r="N20">
        <f t="shared" si="7"/>
        <v>9.032761368968691</v>
      </c>
    </row>
    <row r="21" spans="6:14" x14ac:dyDescent="0.25">
      <c r="F21">
        <v>17</v>
      </c>
      <c r="G21">
        <f t="shared" si="0"/>
        <v>11.67</v>
      </c>
      <c r="H21">
        <f t="shared" si="1"/>
        <v>8.2043428321391456</v>
      </c>
      <c r="I21">
        <f t="shared" si="2"/>
        <v>18</v>
      </c>
      <c r="J21">
        <f t="shared" si="3"/>
        <v>5</v>
      </c>
      <c r="K21">
        <f t="shared" si="4"/>
        <v>2</v>
      </c>
      <c r="L21">
        <f t="shared" si="5"/>
        <v>0.35166666666666668</v>
      </c>
      <c r="M21">
        <f t="shared" si="6"/>
        <v>1.64158</v>
      </c>
      <c r="N21">
        <f t="shared" si="7"/>
        <v>9.0251328321391462</v>
      </c>
    </row>
    <row r="22" spans="6:14" x14ac:dyDescent="0.25">
      <c r="F22">
        <v>18</v>
      </c>
      <c r="G22">
        <f t="shared" si="0"/>
        <v>11.68</v>
      </c>
      <c r="H22">
        <f t="shared" si="1"/>
        <v>8.1973185660157402</v>
      </c>
      <c r="I22">
        <f t="shared" si="2"/>
        <v>18</v>
      </c>
      <c r="J22">
        <f t="shared" si="3"/>
        <v>5</v>
      </c>
      <c r="K22">
        <f t="shared" si="4"/>
        <v>2</v>
      </c>
      <c r="L22">
        <f t="shared" si="5"/>
        <v>0.35111111111111115</v>
      </c>
      <c r="M22">
        <f t="shared" si="6"/>
        <v>1.6403911111111114</v>
      </c>
      <c r="N22">
        <f t="shared" si="7"/>
        <v>9.0175141215712955</v>
      </c>
    </row>
    <row r="23" spans="6:14" x14ac:dyDescent="0.25">
      <c r="F23">
        <v>19</v>
      </c>
      <c r="G23">
        <f t="shared" si="0"/>
        <v>11.69</v>
      </c>
      <c r="H23">
        <f t="shared" si="1"/>
        <v>8.1903063174562742</v>
      </c>
      <c r="I23">
        <f t="shared" si="2"/>
        <v>18</v>
      </c>
      <c r="J23">
        <f t="shared" si="3"/>
        <v>5</v>
      </c>
      <c r="K23">
        <f t="shared" si="4"/>
        <v>2</v>
      </c>
      <c r="L23">
        <f t="shared" si="5"/>
        <v>0.35055555555555562</v>
      </c>
      <c r="M23">
        <f t="shared" si="6"/>
        <v>1.639197777777778</v>
      </c>
      <c r="N23">
        <f t="shared" si="7"/>
        <v>9.009905206345163</v>
      </c>
    </row>
    <row r="24" spans="6:14" x14ac:dyDescent="0.25">
      <c r="F24">
        <v>20</v>
      </c>
      <c r="G24">
        <f t="shared" si="0"/>
        <v>11.7</v>
      </c>
      <c r="H24">
        <f t="shared" si="1"/>
        <v>8.1833060556464812</v>
      </c>
      <c r="I24">
        <f t="shared" si="2"/>
        <v>18</v>
      </c>
      <c r="J24">
        <f t="shared" si="3"/>
        <v>5</v>
      </c>
      <c r="K24">
        <f t="shared" si="4"/>
        <v>2</v>
      </c>
      <c r="L24">
        <f t="shared" si="5"/>
        <v>0.35000000000000009</v>
      </c>
      <c r="M24">
        <f t="shared" si="6"/>
        <v>1.6380000000000003</v>
      </c>
      <c r="N24">
        <f t="shared" si="7"/>
        <v>9.002306055646482</v>
      </c>
    </row>
    <row r="25" spans="6:14" x14ac:dyDescent="0.25">
      <c r="F25">
        <v>21</v>
      </c>
      <c r="G25">
        <f t="shared" si="0"/>
        <v>11.71</v>
      </c>
      <c r="H25">
        <f t="shared" si="1"/>
        <v>8.176317749877354</v>
      </c>
      <c r="I25">
        <f t="shared" si="2"/>
        <v>18</v>
      </c>
      <c r="J25">
        <f t="shared" si="3"/>
        <v>5</v>
      </c>
      <c r="K25">
        <f t="shared" si="4"/>
        <v>2</v>
      </c>
      <c r="L25">
        <f t="shared" si="5"/>
        <v>0.34944444444444445</v>
      </c>
      <c r="M25">
        <f t="shared" si="6"/>
        <v>1.6367977777777778</v>
      </c>
      <c r="N25">
        <f t="shared" si="7"/>
        <v>8.9947166387662421</v>
      </c>
    </row>
    <row r="26" spans="6:14" x14ac:dyDescent="0.25">
      <c r="F26">
        <v>22</v>
      </c>
      <c r="G26">
        <f t="shared" si="0"/>
        <v>11.72</v>
      </c>
      <c r="H26">
        <f t="shared" si="1"/>
        <v>8.1693413695446946</v>
      </c>
      <c r="I26">
        <f t="shared" si="2"/>
        <v>18</v>
      </c>
      <c r="J26">
        <f t="shared" si="3"/>
        <v>5</v>
      </c>
      <c r="K26">
        <f t="shared" si="4"/>
        <v>2</v>
      </c>
      <c r="L26">
        <f t="shared" si="5"/>
        <v>0.3488888888888888</v>
      </c>
      <c r="M26">
        <f t="shared" si="6"/>
        <v>1.6355911111111108</v>
      </c>
      <c r="N26">
        <f t="shared" si="7"/>
        <v>8.9871369251002502</v>
      </c>
    </row>
    <row r="27" spans="6:14" x14ac:dyDescent="0.25">
      <c r="F27">
        <v>23</v>
      </c>
      <c r="G27">
        <f t="shared" si="0"/>
        <v>11.73</v>
      </c>
      <c r="H27">
        <f t="shared" si="1"/>
        <v>8.1623768841486655</v>
      </c>
      <c r="I27">
        <f t="shared" si="2"/>
        <v>18</v>
      </c>
      <c r="J27">
        <f t="shared" si="3"/>
        <v>5</v>
      </c>
      <c r="K27">
        <f t="shared" si="4"/>
        <v>2</v>
      </c>
      <c r="L27">
        <f t="shared" si="5"/>
        <v>0.34833333333333327</v>
      </c>
      <c r="M27">
        <f t="shared" si="6"/>
        <v>1.6343799999999997</v>
      </c>
      <c r="N27">
        <f t="shared" si="7"/>
        <v>8.9795668841486656</v>
      </c>
    </row>
    <row r="28" spans="6:14" x14ac:dyDescent="0.25">
      <c r="F28">
        <v>24</v>
      </c>
      <c r="G28">
        <f t="shared" si="0"/>
        <v>11.74</v>
      </c>
      <c r="H28">
        <f t="shared" si="1"/>
        <v>8.1554242632933427</v>
      </c>
      <c r="I28">
        <f t="shared" si="2"/>
        <v>18</v>
      </c>
      <c r="J28">
        <f t="shared" si="3"/>
        <v>5</v>
      </c>
      <c r="K28">
        <f t="shared" si="4"/>
        <v>2</v>
      </c>
      <c r="L28">
        <f t="shared" si="5"/>
        <v>0.34777777777777774</v>
      </c>
      <c r="M28">
        <f t="shared" si="6"/>
        <v>1.6331644444444442</v>
      </c>
      <c r="N28">
        <f t="shared" si="7"/>
        <v>8.9720064855155641</v>
      </c>
    </row>
    <row r="29" spans="6:14" x14ac:dyDescent="0.25">
      <c r="F29">
        <v>25</v>
      </c>
      <c r="G29">
        <f t="shared" si="0"/>
        <v>11.75</v>
      </c>
      <c r="H29">
        <f t="shared" si="1"/>
        <v>8.1484834766862839</v>
      </c>
      <c r="I29">
        <f t="shared" si="2"/>
        <v>18</v>
      </c>
      <c r="J29">
        <f t="shared" si="3"/>
        <v>5</v>
      </c>
      <c r="K29">
        <f t="shared" si="4"/>
        <v>2</v>
      </c>
      <c r="L29">
        <f t="shared" si="5"/>
        <v>0.34722222222222221</v>
      </c>
      <c r="M29">
        <f t="shared" si="6"/>
        <v>1.6319444444444442</v>
      </c>
      <c r="N29">
        <f t="shared" si="7"/>
        <v>8.9644556989085054</v>
      </c>
    </row>
    <row r="30" spans="6:14" x14ac:dyDescent="0.25">
      <c r="F30">
        <v>26</v>
      </c>
      <c r="G30">
        <f t="shared" si="0"/>
        <v>11.76</v>
      </c>
      <c r="H30">
        <f t="shared" si="1"/>
        <v>8.1415544941380809</v>
      </c>
      <c r="I30">
        <f t="shared" si="2"/>
        <v>18</v>
      </c>
      <c r="J30">
        <f t="shared" si="3"/>
        <v>5</v>
      </c>
      <c r="K30">
        <f t="shared" si="4"/>
        <v>2</v>
      </c>
      <c r="L30">
        <f t="shared" si="5"/>
        <v>0.34666666666666668</v>
      </c>
      <c r="M30">
        <f t="shared" si="6"/>
        <v>1.6307200000000002</v>
      </c>
      <c r="N30">
        <f t="shared" si="7"/>
        <v>8.9569144941380809</v>
      </c>
    </row>
    <row r="31" spans="6:14" x14ac:dyDescent="0.25">
      <c r="F31">
        <v>27</v>
      </c>
      <c r="G31">
        <f t="shared" si="0"/>
        <v>11.77</v>
      </c>
      <c r="H31">
        <f t="shared" si="1"/>
        <v>8.134637285561924</v>
      </c>
      <c r="I31">
        <f t="shared" si="2"/>
        <v>18</v>
      </c>
      <c r="J31">
        <f t="shared" si="3"/>
        <v>5</v>
      </c>
      <c r="K31">
        <f t="shared" si="4"/>
        <v>2</v>
      </c>
      <c r="L31">
        <f t="shared" si="5"/>
        <v>0.34611111111111115</v>
      </c>
      <c r="M31">
        <f t="shared" si="6"/>
        <v>1.6294911111111112</v>
      </c>
      <c r="N31">
        <f t="shared" si="7"/>
        <v>8.9493828411174796</v>
      </c>
    </row>
    <row r="32" spans="6:14" x14ac:dyDescent="0.25">
      <c r="F32">
        <v>28</v>
      </c>
      <c r="G32">
        <f t="shared" si="0"/>
        <v>11.78</v>
      </c>
      <c r="H32">
        <f t="shared" si="1"/>
        <v>8.1277318209731622</v>
      </c>
      <c r="I32">
        <f t="shared" si="2"/>
        <v>18</v>
      </c>
      <c r="J32">
        <f t="shared" si="3"/>
        <v>5</v>
      </c>
      <c r="K32">
        <f t="shared" si="4"/>
        <v>2</v>
      </c>
      <c r="L32">
        <f t="shared" si="5"/>
        <v>0.34555555555555562</v>
      </c>
      <c r="M32">
        <f t="shared" si="6"/>
        <v>1.6282577777777778</v>
      </c>
      <c r="N32">
        <f t="shared" si="7"/>
        <v>8.9418607098620519</v>
      </c>
    </row>
    <row r="33" spans="6:14" x14ac:dyDescent="0.25">
      <c r="F33">
        <v>29</v>
      </c>
      <c r="G33">
        <f t="shared" si="0"/>
        <v>11.79</v>
      </c>
      <c r="H33">
        <f t="shared" si="1"/>
        <v>8.1208380704888743</v>
      </c>
      <c r="I33">
        <f t="shared" si="2"/>
        <v>18</v>
      </c>
      <c r="J33">
        <f t="shared" si="3"/>
        <v>5</v>
      </c>
      <c r="K33">
        <f t="shared" si="4"/>
        <v>2</v>
      </c>
      <c r="L33">
        <f t="shared" si="5"/>
        <v>0.34500000000000008</v>
      </c>
      <c r="M33">
        <f t="shared" si="6"/>
        <v>1.6270200000000004</v>
      </c>
      <c r="N33">
        <f t="shared" si="7"/>
        <v>8.9343480704888751</v>
      </c>
    </row>
    <row r="34" spans="6:14" x14ac:dyDescent="0.25">
      <c r="F34">
        <v>30</v>
      </c>
      <c r="G34">
        <f t="shared" si="0"/>
        <v>11.8</v>
      </c>
      <c r="H34">
        <f t="shared" si="1"/>
        <v>8.1139560043274432</v>
      </c>
      <c r="I34">
        <f t="shared" si="2"/>
        <v>18</v>
      </c>
      <c r="J34">
        <f t="shared" si="3"/>
        <v>5</v>
      </c>
      <c r="K34">
        <f t="shared" si="4"/>
        <v>2</v>
      </c>
      <c r="L34">
        <f t="shared" si="5"/>
        <v>0.34444444444444444</v>
      </c>
      <c r="M34">
        <f t="shared" si="6"/>
        <v>1.625777777777778</v>
      </c>
      <c r="N34">
        <f t="shared" si="7"/>
        <v>8.926844893216332</v>
      </c>
    </row>
    <row r="35" spans="6:14" x14ac:dyDescent="0.25">
      <c r="F35">
        <v>31</v>
      </c>
      <c r="G35">
        <f t="shared" si="0"/>
        <v>11.81</v>
      </c>
      <c r="H35">
        <f t="shared" si="1"/>
        <v>8.1070855928081151</v>
      </c>
      <c r="I35">
        <f t="shared" si="2"/>
        <v>18</v>
      </c>
      <c r="J35">
        <f t="shared" si="3"/>
        <v>5</v>
      </c>
      <c r="K35">
        <f t="shared" si="4"/>
        <v>2</v>
      </c>
      <c r="L35">
        <f t="shared" si="5"/>
        <v>0.34388888888888891</v>
      </c>
      <c r="M35">
        <f t="shared" si="6"/>
        <v>1.6245311111111114</v>
      </c>
      <c r="N35">
        <f t="shared" si="7"/>
        <v>8.9193511483636705</v>
      </c>
    </row>
    <row r="36" spans="6:14" x14ac:dyDescent="0.25">
      <c r="F36">
        <v>32</v>
      </c>
      <c r="G36">
        <f t="shared" ref="G36:G67" si="8">$B$4+(F36*$B$8)</f>
        <v>11.82</v>
      </c>
      <c r="H36">
        <f t="shared" ref="H36:H67" si="9">(I36*J36)/(G36*eta)</f>
        <v>8.1002268063505785</v>
      </c>
      <c r="I36">
        <f t="shared" ref="I36:I67" si="10">VOUT</f>
        <v>18</v>
      </c>
      <c r="J36">
        <f t="shared" ref="J36:J67" si="11">IOUT_np</f>
        <v>5</v>
      </c>
      <c r="K36">
        <f t="shared" ref="K36:K67" si="12">IF((G36*(1-(G36/I36)))/(2*Lm*fsw)&gt;H36,1,2)</f>
        <v>2</v>
      </c>
      <c r="L36">
        <f t="shared" ref="L36:L67" si="13">CHOOSE(K36,SQRT((2*Lm*fsw(I36-G36)*((I36*J36)/G36))/(I36*G36)),(1-(G36/I36)))</f>
        <v>0.34333333333333327</v>
      </c>
      <c r="M36">
        <f t="shared" ref="M36:M67" si="14">G36*L36/(Lm*fsw)</f>
        <v>1.6232799999999998</v>
      </c>
      <c r="N36">
        <f t="shared" si="7"/>
        <v>8.911866806350579</v>
      </c>
    </row>
    <row r="37" spans="6:14" x14ac:dyDescent="0.25">
      <c r="F37">
        <v>33</v>
      </c>
      <c r="G37">
        <f t="shared" si="8"/>
        <v>11.83</v>
      </c>
      <c r="H37">
        <f t="shared" si="9"/>
        <v>8.093379615474543</v>
      </c>
      <c r="I37">
        <f t="shared" si="10"/>
        <v>18</v>
      </c>
      <c r="J37">
        <f t="shared" si="11"/>
        <v>5</v>
      </c>
      <c r="K37">
        <f t="shared" si="12"/>
        <v>2</v>
      </c>
      <c r="L37">
        <f t="shared" si="13"/>
        <v>0.34277777777777774</v>
      </c>
      <c r="M37">
        <f t="shared" si="14"/>
        <v>1.6220244444444443</v>
      </c>
      <c r="N37">
        <f t="shared" si="7"/>
        <v>8.9043918376967657</v>
      </c>
    </row>
    <row r="38" spans="6:14" x14ac:dyDescent="0.25">
      <c r="F38">
        <v>34</v>
      </c>
      <c r="G38">
        <f t="shared" si="8"/>
        <v>11.84</v>
      </c>
      <c r="H38">
        <f t="shared" si="9"/>
        <v>8.08654399079931</v>
      </c>
      <c r="I38">
        <f t="shared" si="10"/>
        <v>18</v>
      </c>
      <c r="J38">
        <f t="shared" si="11"/>
        <v>5</v>
      </c>
      <c r="K38">
        <f t="shared" si="12"/>
        <v>2</v>
      </c>
      <c r="L38">
        <f t="shared" si="13"/>
        <v>0.34222222222222221</v>
      </c>
      <c r="M38">
        <f t="shared" si="14"/>
        <v>1.6207644444444445</v>
      </c>
      <c r="N38">
        <f t="shared" si="7"/>
        <v>8.8969262130215316</v>
      </c>
    </row>
    <row r="39" spans="6:14" x14ac:dyDescent="0.25">
      <c r="F39">
        <v>35</v>
      </c>
      <c r="G39">
        <f t="shared" si="8"/>
        <v>11.85</v>
      </c>
      <c r="H39">
        <f t="shared" si="9"/>
        <v>8.0797199030433617</v>
      </c>
      <c r="I39">
        <f t="shared" si="10"/>
        <v>18</v>
      </c>
      <c r="J39">
        <f t="shared" si="11"/>
        <v>5</v>
      </c>
      <c r="K39">
        <f t="shared" si="12"/>
        <v>2</v>
      </c>
      <c r="L39">
        <f t="shared" si="13"/>
        <v>0.34166666666666667</v>
      </c>
      <c r="M39">
        <f t="shared" si="14"/>
        <v>1.6194999999999999</v>
      </c>
      <c r="N39">
        <f t="shared" si="7"/>
        <v>8.889469903043361</v>
      </c>
    </row>
    <row r="40" spans="6:14" x14ac:dyDescent="0.25">
      <c r="F40">
        <v>36</v>
      </c>
      <c r="G40">
        <f t="shared" si="8"/>
        <v>11.86</v>
      </c>
      <c r="H40">
        <f t="shared" si="9"/>
        <v>8.0729073230239319</v>
      </c>
      <c r="I40">
        <f t="shared" si="10"/>
        <v>18</v>
      </c>
      <c r="J40">
        <f t="shared" si="11"/>
        <v>5</v>
      </c>
      <c r="K40">
        <f t="shared" si="12"/>
        <v>2</v>
      </c>
      <c r="L40">
        <f t="shared" si="13"/>
        <v>0.34111111111111114</v>
      </c>
      <c r="M40">
        <f t="shared" si="14"/>
        <v>1.6182311111111112</v>
      </c>
      <c r="N40">
        <f t="shared" si="7"/>
        <v>8.8820228785794875</v>
      </c>
    </row>
    <row r="41" spans="6:14" x14ac:dyDescent="0.25">
      <c r="F41">
        <v>37</v>
      </c>
      <c r="G41">
        <f t="shared" si="8"/>
        <v>11.87</v>
      </c>
      <c r="H41">
        <f t="shared" si="9"/>
        <v>8.0661062216566002</v>
      </c>
      <c r="I41">
        <f t="shared" si="10"/>
        <v>18</v>
      </c>
      <c r="J41">
        <f t="shared" si="11"/>
        <v>5</v>
      </c>
      <c r="K41">
        <f t="shared" si="12"/>
        <v>2</v>
      </c>
      <c r="L41">
        <f t="shared" si="13"/>
        <v>0.34055555555555561</v>
      </c>
      <c r="M41">
        <f t="shared" si="14"/>
        <v>1.6169577777777779</v>
      </c>
      <c r="N41">
        <f t="shared" si="7"/>
        <v>8.8745851105454889</v>
      </c>
    </row>
    <row r="42" spans="6:14" x14ac:dyDescent="0.25">
      <c r="F42">
        <v>38</v>
      </c>
      <c r="G42">
        <f t="shared" si="8"/>
        <v>11.88</v>
      </c>
      <c r="H42">
        <f t="shared" si="9"/>
        <v>8.0593165699548681</v>
      </c>
      <c r="I42">
        <f t="shared" si="10"/>
        <v>18</v>
      </c>
      <c r="J42">
        <f t="shared" si="11"/>
        <v>5</v>
      </c>
      <c r="K42">
        <f t="shared" si="12"/>
        <v>2</v>
      </c>
      <c r="L42">
        <f t="shared" si="13"/>
        <v>0.33999999999999997</v>
      </c>
      <c r="M42">
        <f t="shared" si="14"/>
        <v>1.61568</v>
      </c>
      <c r="N42">
        <f t="shared" si="7"/>
        <v>8.8671565699548687</v>
      </c>
    </row>
    <row r="43" spans="6:14" x14ac:dyDescent="0.25">
      <c r="F43">
        <v>39</v>
      </c>
      <c r="G43">
        <f t="shared" si="8"/>
        <v>11.89</v>
      </c>
      <c r="H43">
        <f t="shared" si="9"/>
        <v>8.0525383390297574</v>
      </c>
      <c r="I43">
        <f t="shared" si="10"/>
        <v>18</v>
      </c>
      <c r="J43">
        <f t="shared" si="11"/>
        <v>5</v>
      </c>
      <c r="K43">
        <f t="shared" si="12"/>
        <v>2</v>
      </c>
      <c r="L43">
        <f t="shared" si="13"/>
        <v>0.33944444444444444</v>
      </c>
      <c r="M43">
        <f t="shared" si="14"/>
        <v>1.6143977777777778</v>
      </c>
      <c r="N43">
        <f t="shared" si="7"/>
        <v>8.8597372279186466</v>
      </c>
    </row>
    <row r="44" spans="6:14" x14ac:dyDescent="0.25">
      <c r="F44">
        <v>40</v>
      </c>
      <c r="G44">
        <f t="shared" si="8"/>
        <v>11.9</v>
      </c>
      <c r="H44">
        <f t="shared" si="9"/>
        <v>8.0457715000893977</v>
      </c>
      <c r="I44">
        <f t="shared" si="10"/>
        <v>18</v>
      </c>
      <c r="J44">
        <f t="shared" si="11"/>
        <v>5</v>
      </c>
      <c r="K44">
        <f t="shared" si="12"/>
        <v>2</v>
      </c>
      <c r="L44">
        <f t="shared" si="13"/>
        <v>0.33888888888888891</v>
      </c>
      <c r="M44">
        <f t="shared" si="14"/>
        <v>1.6131111111111114</v>
      </c>
      <c r="N44">
        <f t="shared" si="7"/>
        <v>8.8523270556449525</v>
      </c>
    </row>
    <row r="45" spans="6:14" x14ac:dyDescent="0.25">
      <c r="F45">
        <v>41</v>
      </c>
      <c r="G45">
        <f t="shared" si="8"/>
        <v>11.91</v>
      </c>
      <c r="H45">
        <f t="shared" si="9"/>
        <v>8.0390160244386095</v>
      </c>
      <c r="I45">
        <f t="shared" si="10"/>
        <v>18</v>
      </c>
      <c r="J45">
        <f t="shared" si="11"/>
        <v>5</v>
      </c>
      <c r="K45">
        <f t="shared" si="12"/>
        <v>2</v>
      </c>
      <c r="L45">
        <f t="shared" si="13"/>
        <v>0.33833333333333337</v>
      </c>
      <c r="M45">
        <f t="shared" si="14"/>
        <v>1.6118200000000003</v>
      </c>
      <c r="N45">
        <f t="shared" si="7"/>
        <v>8.8449260244386103</v>
      </c>
    </row>
    <row r="46" spans="6:14" x14ac:dyDescent="0.25">
      <c r="F46">
        <v>42</v>
      </c>
      <c r="G46">
        <f t="shared" si="8"/>
        <v>11.92</v>
      </c>
      <c r="H46">
        <f t="shared" si="9"/>
        <v>8.0322718834785096</v>
      </c>
      <c r="I46">
        <f t="shared" si="10"/>
        <v>18</v>
      </c>
      <c r="J46">
        <f t="shared" si="11"/>
        <v>5</v>
      </c>
      <c r="K46">
        <f t="shared" si="12"/>
        <v>2</v>
      </c>
      <c r="L46">
        <f t="shared" si="13"/>
        <v>0.33777777777777773</v>
      </c>
      <c r="M46">
        <f t="shared" si="14"/>
        <v>1.6105244444444442</v>
      </c>
      <c r="N46">
        <f t="shared" si="7"/>
        <v>8.8375341057007315</v>
      </c>
    </row>
    <row r="47" spans="6:14" x14ac:dyDescent="0.25">
      <c r="F47">
        <v>43</v>
      </c>
      <c r="G47">
        <f t="shared" si="8"/>
        <v>11.93</v>
      </c>
      <c r="H47">
        <f t="shared" si="9"/>
        <v>8.0255390487061042</v>
      </c>
      <c r="I47">
        <f t="shared" si="10"/>
        <v>18</v>
      </c>
      <c r="J47">
        <f t="shared" si="11"/>
        <v>5</v>
      </c>
      <c r="K47">
        <f t="shared" si="12"/>
        <v>2</v>
      </c>
      <c r="L47">
        <f t="shared" si="13"/>
        <v>0.3372222222222222</v>
      </c>
      <c r="M47">
        <f t="shared" si="14"/>
        <v>1.6092244444444443</v>
      </c>
      <c r="N47">
        <f t="shared" si="7"/>
        <v>8.8301512709283259</v>
      </c>
    </row>
    <row r="48" spans="6:14" x14ac:dyDescent="0.25">
      <c r="F48">
        <v>44</v>
      </c>
      <c r="G48">
        <f t="shared" si="8"/>
        <v>11.94</v>
      </c>
      <c r="H48">
        <f t="shared" si="9"/>
        <v>8.0188174917138895</v>
      </c>
      <c r="I48">
        <f t="shared" si="10"/>
        <v>18</v>
      </c>
      <c r="J48">
        <f t="shared" si="11"/>
        <v>5</v>
      </c>
      <c r="K48">
        <f t="shared" si="12"/>
        <v>2</v>
      </c>
      <c r="L48">
        <f t="shared" si="13"/>
        <v>0.33666666666666667</v>
      </c>
      <c r="M48">
        <f t="shared" si="14"/>
        <v>1.60792</v>
      </c>
      <c r="N48">
        <f t="shared" si="7"/>
        <v>8.8227774917138895</v>
      </c>
    </row>
    <row r="49" spans="6:14" x14ac:dyDescent="0.25">
      <c r="F49">
        <v>45</v>
      </c>
      <c r="G49">
        <f t="shared" si="8"/>
        <v>11.95</v>
      </c>
      <c r="H49">
        <f t="shared" si="9"/>
        <v>8.0121071841894427</v>
      </c>
      <c r="I49">
        <f t="shared" si="10"/>
        <v>18</v>
      </c>
      <c r="J49">
        <f t="shared" si="11"/>
        <v>5</v>
      </c>
      <c r="K49">
        <f t="shared" si="12"/>
        <v>2</v>
      </c>
      <c r="L49">
        <f t="shared" si="13"/>
        <v>0.33611111111111114</v>
      </c>
      <c r="M49">
        <f t="shared" si="14"/>
        <v>1.6066111111111112</v>
      </c>
      <c r="N49">
        <f t="shared" si="7"/>
        <v>8.8154127397449979</v>
      </c>
    </row>
    <row r="50" spans="6:14" x14ac:dyDescent="0.25">
      <c r="F50">
        <v>46</v>
      </c>
      <c r="G50">
        <f t="shared" si="8"/>
        <v>11.96</v>
      </c>
      <c r="H50">
        <f t="shared" si="9"/>
        <v>8.0054080979150353</v>
      </c>
      <c r="I50">
        <f t="shared" si="10"/>
        <v>18</v>
      </c>
      <c r="J50">
        <f t="shared" si="11"/>
        <v>5</v>
      </c>
      <c r="K50">
        <f t="shared" si="12"/>
        <v>2</v>
      </c>
      <c r="L50">
        <f t="shared" si="13"/>
        <v>0.3355555555555555</v>
      </c>
      <c r="M50">
        <f t="shared" si="14"/>
        <v>1.6052977777777777</v>
      </c>
      <c r="N50">
        <f t="shared" si="7"/>
        <v>8.8080569868039245</v>
      </c>
    </row>
    <row r="51" spans="6:14" x14ac:dyDescent="0.25">
      <c r="F51">
        <v>47</v>
      </c>
      <c r="G51">
        <f t="shared" si="8"/>
        <v>11.97</v>
      </c>
      <c r="H51">
        <f t="shared" si="9"/>
        <v>7.9987202047672374</v>
      </c>
      <c r="I51">
        <f t="shared" si="10"/>
        <v>18</v>
      </c>
      <c r="J51">
        <f t="shared" si="11"/>
        <v>5</v>
      </c>
      <c r="K51">
        <f t="shared" si="12"/>
        <v>2</v>
      </c>
      <c r="L51">
        <f t="shared" si="13"/>
        <v>0.33499999999999996</v>
      </c>
      <c r="M51">
        <f t="shared" si="14"/>
        <v>1.60398</v>
      </c>
      <c r="N51">
        <f t="shared" si="7"/>
        <v>8.8007102047672383</v>
      </c>
    </row>
    <row r="52" spans="6:14" x14ac:dyDescent="0.25">
      <c r="F52">
        <v>48</v>
      </c>
      <c r="G52">
        <f t="shared" si="8"/>
        <v>11.98</v>
      </c>
      <c r="H52">
        <f t="shared" si="9"/>
        <v>7.9920434767165132</v>
      </c>
      <c r="I52">
        <f t="shared" si="10"/>
        <v>18</v>
      </c>
      <c r="J52">
        <f t="shared" si="11"/>
        <v>5</v>
      </c>
      <c r="K52">
        <f t="shared" si="12"/>
        <v>2</v>
      </c>
      <c r="L52">
        <f t="shared" si="13"/>
        <v>0.33444444444444443</v>
      </c>
      <c r="M52">
        <f t="shared" si="14"/>
        <v>1.6026577777777777</v>
      </c>
      <c r="N52">
        <f t="shared" si="7"/>
        <v>8.7933723656054017</v>
      </c>
    </row>
    <row r="53" spans="6:14" x14ac:dyDescent="0.25">
      <c r="F53">
        <v>49</v>
      </c>
      <c r="G53">
        <f t="shared" si="8"/>
        <v>11.99</v>
      </c>
      <c r="H53">
        <f t="shared" si="9"/>
        <v>7.9853778858268418</v>
      </c>
      <c r="I53">
        <f t="shared" si="10"/>
        <v>18</v>
      </c>
      <c r="J53">
        <f t="shared" si="11"/>
        <v>5</v>
      </c>
      <c r="K53">
        <f t="shared" si="12"/>
        <v>2</v>
      </c>
      <c r="L53">
        <f t="shared" si="13"/>
        <v>0.3338888888888889</v>
      </c>
      <c r="M53">
        <f t="shared" si="14"/>
        <v>1.601331111111111</v>
      </c>
      <c r="N53">
        <f t="shared" si="7"/>
        <v>8.7860434413823967</v>
      </c>
    </row>
    <row r="54" spans="6:14" x14ac:dyDescent="0.25">
      <c r="F54">
        <v>50</v>
      </c>
      <c r="G54">
        <f t="shared" si="8"/>
        <v>12</v>
      </c>
      <c r="H54">
        <f t="shared" si="9"/>
        <v>7.9787234042553195</v>
      </c>
      <c r="I54">
        <f t="shared" si="10"/>
        <v>18</v>
      </c>
      <c r="J54">
        <f t="shared" si="11"/>
        <v>5</v>
      </c>
      <c r="K54">
        <f t="shared" si="12"/>
        <v>2</v>
      </c>
      <c r="L54">
        <f t="shared" si="13"/>
        <v>0.33333333333333337</v>
      </c>
      <c r="M54">
        <f t="shared" si="14"/>
        <v>1.6</v>
      </c>
      <c r="N54">
        <f t="shared" si="7"/>
        <v>8.7787234042553202</v>
      </c>
    </row>
    <row r="55" spans="6:14" x14ac:dyDescent="0.25">
      <c r="F55">
        <v>51</v>
      </c>
      <c r="G55">
        <f t="shared" si="8"/>
        <v>12.01</v>
      </c>
      <c r="H55">
        <f t="shared" si="9"/>
        <v>7.9720800042517768</v>
      </c>
      <c r="I55">
        <f t="shared" si="10"/>
        <v>18</v>
      </c>
      <c r="J55">
        <f t="shared" si="11"/>
        <v>5</v>
      </c>
      <c r="K55">
        <f t="shared" si="12"/>
        <v>2</v>
      </c>
      <c r="L55">
        <f t="shared" si="13"/>
        <v>0.33277777777777784</v>
      </c>
      <c r="M55">
        <f t="shared" si="14"/>
        <v>1.5986644444444447</v>
      </c>
      <c r="N55">
        <f t="shared" si="7"/>
        <v>8.7714122264739984</v>
      </c>
    </row>
    <row r="56" spans="6:14" x14ac:dyDescent="0.25">
      <c r="F56">
        <v>52</v>
      </c>
      <c r="G56">
        <f t="shared" si="8"/>
        <v>12.02</v>
      </c>
      <c r="H56">
        <f t="shared" si="9"/>
        <v>7.9654476581583902</v>
      </c>
      <c r="I56">
        <f t="shared" si="10"/>
        <v>18</v>
      </c>
      <c r="J56">
        <f t="shared" si="11"/>
        <v>5</v>
      </c>
      <c r="K56">
        <f t="shared" si="12"/>
        <v>2</v>
      </c>
      <c r="L56">
        <f t="shared" si="13"/>
        <v>0.3322222222222222</v>
      </c>
      <c r="M56">
        <f t="shared" si="14"/>
        <v>1.5973244444444443</v>
      </c>
      <c r="N56">
        <f t="shared" si="7"/>
        <v>8.7641098803806123</v>
      </c>
    </row>
    <row r="57" spans="6:14" x14ac:dyDescent="0.25">
      <c r="F57">
        <v>53</v>
      </c>
      <c r="G57">
        <f t="shared" si="8"/>
        <v>12.03</v>
      </c>
      <c r="H57">
        <f t="shared" si="9"/>
        <v>7.9588263384092963</v>
      </c>
      <c r="I57">
        <f t="shared" si="10"/>
        <v>18</v>
      </c>
      <c r="J57">
        <f t="shared" si="11"/>
        <v>5</v>
      </c>
      <c r="K57">
        <f t="shared" si="12"/>
        <v>2</v>
      </c>
      <c r="L57">
        <f t="shared" si="13"/>
        <v>0.33166666666666667</v>
      </c>
      <c r="M57">
        <f t="shared" si="14"/>
        <v>1.59598</v>
      </c>
      <c r="N57">
        <f t="shared" si="7"/>
        <v>8.7568163384092959</v>
      </c>
    </row>
    <row r="58" spans="6:14" x14ac:dyDescent="0.25">
      <c r="F58">
        <v>54</v>
      </c>
      <c r="G58">
        <f t="shared" si="8"/>
        <v>12.04</v>
      </c>
      <c r="H58">
        <f t="shared" si="9"/>
        <v>7.952216017530219</v>
      </c>
      <c r="I58">
        <f t="shared" si="10"/>
        <v>18</v>
      </c>
      <c r="J58">
        <f t="shared" si="11"/>
        <v>5</v>
      </c>
      <c r="K58">
        <f t="shared" si="12"/>
        <v>2</v>
      </c>
      <c r="L58">
        <f t="shared" si="13"/>
        <v>0.33111111111111113</v>
      </c>
      <c r="M58">
        <f t="shared" si="14"/>
        <v>1.5946311111111111</v>
      </c>
      <c r="N58">
        <f t="shared" si="7"/>
        <v>8.7495315730857754</v>
      </c>
    </row>
    <row r="59" spans="6:14" x14ac:dyDescent="0.25">
      <c r="F59">
        <v>55</v>
      </c>
      <c r="G59">
        <f t="shared" si="8"/>
        <v>12.05</v>
      </c>
      <c r="H59">
        <f t="shared" si="9"/>
        <v>7.9456166681380775</v>
      </c>
      <c r="I59">
        <f t="shared" si="10"/>
        <v>18</v>
      </c>
      <c r="J59">
        <f t="shared" si="11"/>
        <v>5</v>
      </c>
      <c r="K59">
        <f t="shared" si="12"/>
        <v>2</v>
      </c>
      <c r="L59">
        <f t="shared" si="13"/>
        <v>0.33055555555555549</v>
      </c>
      <c r="M59">
        <f t="shared" si="14"/>
        <v>1.5932777777777776</v>
      </c>
      <c r="N59">
        <f t="shared" si="7"/>
        <v>8.7422555570269669</v>
      </c>
    </row>
    <row r="60" spans="6:14" x14ac:dyDescent="0.25">
      <c r="F60">
        <v>56</v>
      </c>
      <c r="G60">
        <f t="shared" si="8"/>
        <v>12.06</v>
      </c>
      <c r="H60">
        <f t="shared" si="9"/>
        <v>7.9390282629406164</v>
      </c>
      <c r="I60">
        <f t="shared" si="10"/>
        <v>18</v>
      </c>
      <c r="J60">
        <f t="shared" si="11"/>
        <v>5</v>
      </c>
      <c r="K60">
        <f t="shared" si="12"/>
        <v>2</v>
      </c>
      <c r="L60">
        <f t="shared" si="13"/>
        <v>0.32999999999999996</v>
      </c>
      <c r="M60">
        <f t="shared" si="14"/>
        <v>1.5919199999999998</v>
      </c>
      <c r="N60">
        <f t="shared" si="7"/>
        <v>8.7349882629406164</v>
      </c>
    </row>
    <row r="61" spans="6:14" x14ac:dyDescent="0.25">
      <c r="F61">
        <v>57</v>
      </c>
      <c r="G61">
        <f t="shared" si="8"/>
        <v>12.07</v>
      </c>
      <c r="H61">
        <f t="shared" si="9"/>
        <v>7.9324507747360267</v>
      </c>
      <c r="I61">
        <f t="shared" si="10"/>
        <v>18</v>
      </c>
      <c r="J61">
        <f t="shared" si="11"/>
        <v>5</v>
      </c>
      <c r="K61">
        <f t="shared" si="12"/>
        <v>2</v>
      </c>
      <c r="L61">
        <f t="shared" si="13"/>
        <v>0.32944444444444443</v>
      </c>
      <c r="M61">
        <f t="shared" si="14"/>
        <v>1.5905577777777777</v>
      </c>
      <c r="N61">
        <f t="shared" si="7"/>
        <v>8.7277296636249151</v>
      </c>
    </row>
    <row r="62" spans="6:14" x14ac:dyDescent="0.25">
      <c r="F62">
        <v>58</v>
      </c>
      <c r="G62">
        <f t="shared" si="8"/>
        <v>12.08</v>
      </c>
      <c r="H62">
        <f t="shared" si="9"/>
        <v>7.9258841764125689</v>
      </c>
      <c r="I62">
        <f t="shared" si="10"/>
        <v>18</v>
      </c>
      <c r="J62">
        <f t="shared" si="11"/>
        <v>5</v>
      </c>
      <c r="K62">
        <f t="shared" si="12"/>
        <v>2</v>
      </c>
      <c r="L62">
        <f t="shared" si="13"/>
        <v>0.3288888888888889</v>
      </c>
      <c r="M62">
        <f t="shared" si="14"/>
        <v>1.5891911111111112</v>
      </c>
      <c r="N62">
        <f t="shared" si="7"/>
        <v>8.7204797319681244</v>
      </c>
    </row>
    <row r="63" spans="6:14" x14ac:dyDescent="0.25">
      <c r="F63">
        <v>59</v>
      </c>
      <c r="G63">
        <f t="shared" si="8"/>
        <v>12.09</v>
      </c>
      <c r="H63">
        <f t="shared" si="9"/>
        <v>7.9193284409482079</v>
      </c>
      <c r="I63">
        <f t="shared" si="10"/>
        <v>18</v>
      </c>
      <c r="J63">
        <f t="shared" si="11"/>
        <v>5</v>
      </c>
      <c r="K63">
        <f t="shared" si="12"/>
        <v>2</v>
      </c>
      <c r="L63">
        <f t="shared" si="13"/>
        <v>0.32833333333333337</v>
      </c>
      <c r="M63">
        <f t="shared" si="14"/>
        <v>1.5878200000000002</v>
      </c>
      <c r="N63">
        <f t="shared" si="7"/>
        <v>8.7132384409482082</v>
      </c>
    </row>
    <row r="64" spans="6:14" x14ac:dyDescent="0.25">
      <c r="F64">
        <v>60</v>
      </c>
      <c r="G64">
        <f t="shared" si="8"/>
        <v>12.1</v>
      </c>
      <c r="H64">
        <f t="shared" si="9"/>
        <v>7.912783541410235</v>
      </c>
      <c r="I64">
        <f t="shared" si="10"/>
        <v>18</v>
      </c>
      <c r="J64">
        <f t="shared" si="11"/>
        <v>5</v>
      </c>
      <c r="K64">
        <f t="shared" si="12"/>
        <v>2</v>
      </c>
      <c r="L64">
        <f t="shared" si="13"/>
        <v>0.32777777777777783</v>
      </c>
      <c r="M64">
        <f t="shared" si="14"/>
        <v>1.5864444444444445</v>
      </c>
      <c r="N64">
        <f t="shared" si="7"/>
        <v>8.7060057636324579</v>
      </c>
    </row>
    <row r="65" spans="6:14" x14ac:dyDescent="0.25">
      <c r="F65">
        <v>61</v>
      </c>
      <c r="G65">
        <f t="shared" si="8"/>
        <v>12.11</v>
      </c>
      <c r="H65">
        <f t="shared" si="9"/>
        <v>7.9062494509549008</v>
      </c>
      <c r="I65">
        <f t="shared" si="10"/>
        <v>18</v>
      </c>
      <c r="J65">
        <f t="shared" si="11"/>
        <v>5</v>
      </c>
      <c r="K65">
        <f t="shared" si="12"/>
        <v>2</v>
      </c>
      <c r="L65">
        <f t="shared" si="13"/>
        <v>0.3272222222222223</v>
      </c>
      <c r="M65">
        <f t="shared" si="14"/>
        <v>1.5850644444444448</v>
      </c>
      <c r="N65">
        <f t="shared" si="7"/>
        <v>8.6987816731771233</v>
      </c>
    </row>
    <row r="66" spans="6:14" x14ac:dyDescent="0.25">
      <c r="F66">
        <v>62</v>
      </c>
      <c r="G66">
        <f t="shared" si="8"/>
        <v>12.12</v>
      </c>
      <c r="H66">
        <f t="shared" si="9"/>
        <v>7.8997261428270491</v>
      </c>
      <c r="I66">
        <f t="shared" si="10"/>
        <v>18</v>
      </c>
      <c r="J66">
        <f t="shared" si="11"/>
        <v>5</v>
      </c>
      <c r="K66">
        <f t="shared" si="12"/>
        <v>2</v>
      </c>
      <c r="L66">
        <f t="shared" si="13"/>
        <v>0.32666666666666666</v>
      </c>
      <c r="M66">
        <f t="shared" si="14"/>
        <v>1.5836799999999998</v>
      </c>
      <c r="N66">
        <f t="shared" si="7"/>
        <v>8.6915661428270496</v>
      </c>
    </row>
    <row r="67" spans="6:14" x14ac:dyDescent="0.25">
      <c r="F67">
        <v>63</v>
      </c>
      <c r="G67">
        <f t="shared" si="8"/>
        <v>12.13</v>
      </c>
      <c r="H67">
        <f t="shared" si="9"/>
        <v>7.8932135903597551</v>
      </c>
      <c r="I67">
        <f t="shared" si="10"/>
        <v>18</v>
      </c>
      <c r="J67">
        <f t="shared" si="11"/>
        <v>5</v>
      </c>
      <c r="K67">
        <f t="shared" si="12"/>
        <v>2</v>
      </c>
      <c r="L67">
        <f t="shared" si="13"/>
        <v>0.32611111111111102</v>
      </c>
      <c r="M67">
        <f t="shared" si="14"/>
        <v>1.5822911111111106</v>
      </c>
      <c r="N67">
        <f t="shared" si="7"/>
        <v>8.6843591459153107</v>
      </c>
    </row>
    <row r="68" spans="6:14" x14ac:dyDescent="0.25">
      <c r="F68">
        <v>64</v>
      </c>
      <c r="G68">
        <f t="shared" ref="G68:G99" si="15">$B$4+(F68*$B$8)</f>
        <v>12.14</v>
      </c>
      <c r="H68">
        <f t="shared" ref="H68:H99" si="16">(I68*J68)/(G68*eta)</f>
        <v>7.8867117669739564</v>
      </c>
      <c r="I68">
        <f t="shared" ref="I68:I104" si="17">VOUT</f>
        <v>18</v>
      </c>
      <c r="J68">
        <f t="shared" ref="J68:J104" si="18">IOUT_np</f>
        <v>5</v>
      </c>
      <c r="K68">
        <f t="shared" ref="K68:K104" si="19">IF((G68*(1-(G68/I68)))/(2*Lm*fsw)&gt;H68,1,2)</f>
        <v>2</v>
      </c>
      <c r="L68">
        <f t="shared" ref="L68:L99" si="20">CHOOSE(K68,SQRT((2*Lm*fsw(I68-G68)*((I68*J68)/G68))/(I68*G68)),(1-(G68/I68)))</f>
        <v>0.32555555555555549</v>
      </c>
      <c r="M68">
        <f t="shared" ref="M68:M99" si="21">G68*L68/(Lm*fsw)</f>
        <v>1.5808977777777775</v>
      </c>
      <c r="N68">
        <f t="shared" si="7"/>
        <v>8.6771606558628456</v>
      </c>
    </row>
    <row r="69" spans="6:14" x14ac:dyDescent="0.25">
      <c r="F69">
        <v>65</v>
      </c>
      <c r="G69">
        <f t="shared" si="15"/>
        <v>12.15</v>
      </c>
      <c r="H69">
        <f t="shared" si="16"/>
        <v>7.8802206461780937</v>
      </c>
      <c r="I69">
        <f t="shared" si="17"/>
        <v>18</v>
      </c>
      <c r="J69">
        <f t="shared" si="18"/>
        <v>5</v>
      </c>
      <c r="K69">
        <f t="shared" si="19"/>
        <v>2</v>
      </c>
      <c r="L69">
        <f t="shared" si="20"/>
        <v>0.32499999999999996</v>
      </c>
      <c r="M69">
        <f t="shared" si="21"/>
        <v>1.5794999999999999</v>
      </c>
      <c r="N69">
        <f t="shared" ref="N69:N104" si="22">H69+(M69/2)</f>
        <v>8.6699706461780934</v>
      </c>
    </row>
    <row r="70" spans="6:14" x14ac:dyDescent="0.25">
      <c r="F70">
        <v>66</v>
      </c>
      <c r="G70">
        <f t="shared" si="15"/>
        <v>12.16</v>
      </c>
      <c r="H70">
        <f t="shared" si="16"/>
        <v>7.8737402015677498</v>
      </c>
      <c r="I70">
        <f t="shared" si="17"/>
        <v>18</v>
      </c>
      <c r="J70">
        <f t="shared" si="18"/>
        <v>5</v>
      </c>
      <c r="K70">
        <f t="shared" si="19"/>
        <v>2</v>
      </c>
      <c r="L70">
        <f t="shared" si="20"/>
        <v>0.32444444444444442</v>
      </c>
      <c r="M70">
        <f t="shared" si="21"/>
        <v>1.5780977777777776</v>
      </c>
      <c r="N70">
        <f t="shared" si="22"/>
        <v>8.6627890904566378</v>
      </c>
    </row>
    <row r="71" spans="6:14" x14ac:dyDescent="0.25">
      <c r="F71">
        <v>67</v>
      </c>
      <c r="G71">
        <f t="shared" si="15"/>
        <v>12.17</v>
      </c>
      <c r="H71">
        <f t="shared" si="16"/>
        <v>7.8672704068252939</v>
      </c>
      <c r="I71">
        <f t="shared" si="17"/>
        <v>18</v>
      </c>
      <c r="J71">
        <f t="shared" si="18"/>
        <v>5</v>
      </c>
      <c r="K71">
        <f t="shared" si="19"/>
        <v>2</v>
      </c>
      <c r="L71">
        <f t="shared" si="20"/>
        <v>0.32388888888888889</v>
      </c>
      <c r="M71">
        <f t="shared" si="21"/>
        <v>1.5766911111111113</v>
      </c>
      <c r="N71">
        <f t="shared" si="22"/>
        <v>8.6556159623808497</v>
      </c>
    </row>
    <row r="72" spans="6:14" x14ac:dyDescent="0.25">
      <c r="F72">
        <v>68</v>
      </c>
      <c r="G72">
        <f t="shared" si="15"/>
        <v>12.18</v>
      </c>
      <c r="H72">
        <f t="shared" si="16"/>
        <v>7.8608112357195266</v>
      </c>
      <c r="I72">
        <f t="shared" si="17"/>
        <v>18</v>
      </c>
      <c r="J72">
        <f t="shared" si="18"/>
        <v>5</v>
      </c>
      <c r="K72">
        <f t="shared" si="19"/>
        <v>2</v>
      </c>
      <c r="L72">
        <f t="shared" si="20"/>
        <v>0.32333333333333336</v>
      </c>
      <c r="M72">
        <f t="shared" si="21"/>
        <v>1.57528</v>
      </c>
      <c r="N72">
        <f t="shared" si="22"/>
        <v>8.6484512357195271</v>
      </c>
    </row>
    <row r="73" spans="6:14" x14ac:dyDescent="0.25">
      <c r="F73">
        <v>69</v>
      </c>
      <c r="G73">
        <f t="shared" si="15"/>
        <v>12.19</v>
      </c>
      <c r="H73">
        <f t="shared" si="16"/>
        <v>7.8543626621053191</v>
      </c>
      <c r="I73">
        <f t="shared" si="17"/>
        <v>18</v>
      </c>
      <c r="J73">
        <f t="shared" si="18"/>
        <v>5</v>
      </c>
      <c r="K73">
        <f t="shared" si="19"/>
        <v>2</v>
      </c>
      <c r="L73">
        <f t="shared" si="20"/>
        <v>0.32277777777777783</v>
      </c>
      <c r="M73">
        <f t="shared" si="21"/>
        <v>1.5738644444444447</v>
      </c>
      <c r="N73">
        <f t="shared" si="22"/>
        <v>8.6412948843275412</v>
      </c>
    </row>
    <row r="74" spans="6:14" x14ac:dyDescent="0.25">
      <c r="F74">
        <v>70</v>
      </c>
      <c r="G74">
        <f t="shared" si="15"/>
        <v>12.2</v>
      </c>
      <c r="H74">
        <f t="shared" si="16"/>
        <v>7.8479246599232662</v>
      </c>
      <c r="I74">
        <f t="shared" si="17"/>
        <v>18</v>
      </c>
      <c r="J74">
        <f t="shared" si="18"/>
        <v>5</v>
      </c>
      <c r="K74">
        <f t="shared" si="19"/>
        <v>2</v>
      </c>
      <c r="L74">
        <f t="shared" si="20"/>
        <v>0.3222222222222223</v>
      </c>
      <c r="M74">
        <f t="shared" si="21"/>
        <v>1.5724444444444448</v>
      </c>
      <c r="N74">
        <f t="shared" si="22"/>
        <v>8.6341468821454885</v>
      </c>
    </row>
    <row r="75" spans="6:14" x14ac:dyDescent="0.25">
      <c r="F75">
        <v>71</v>
      </c>
      <c r="G75">
        <f t="shared" si="15"/>
        <v>12.21</v>
      </c>
      <c r="H75">
        <f t="shared" si="16"/>
        <v>7.8414972031993315</v>
      </c>
      <c r="I75">
        <f t="shared" si="17"/>
        <v>18</v>
      </c>
      <c r="J75">
        <f t="shared" si="18"/>
        <v>5</v>
      </c>
      <c r="K75">
        <f t="shared" si="19"/>
        <v>2</v>
      </c>
      <c r="L75">
        <f t="shared" si="20"/>
        <v>0.32166666666666666</v>
      </c>
      <c r="M75">
        <f t="shared" si="21"/>
        <v>1.5710200000000001</v>
      </c>
      <c r="N75">
        <f t="shared" si="22"/>
        <v>8.6270072031993319</v>
      </c>
    </row>
    <row r="76" spans="6:14" x14ac:dyDescent="0.25">
      <c r="F76">
        <v>72</v>
      </c>
      <c r="G76">
        <f t="shared" si="15"/>
        <v>12.22</v>
      </c>
      <c r="H76">
        <f t="shared" si="16"/>
        <v>7.8350802660445025</v>
      </c>
      <c r="I76">
        <f t="shared" si="17"/>
        <v>18</v>
      </c>
      <c r="J76">
        <f t="shared" si="18"/>
        <v>5</v>
      </c>
      <c r="K76">
        <f t="shared" si="19"/>
        <v>2</v>
      </c>
      <c r="L76">
        <f t="shared" si="20"/>
        <v>0.32111111111111112</v>
      </c>
      <c r="M76">
        <f t="shared" si="21"/>
        <v>1.5695911111111112</v>
      </c>
      <c r="N76">
        <f t="shared" si="22"/>
        <v>8.6198758216000577</v>
      </c>
    </row>
    <row r="77" spans="6:14" x14ac:dyDescent="0.25">
      <c r="F77">
        <v>73</v>
      </c>
      <c r="G77">
        <f t="shared" si="15"/>
        <v>12.23</v>
      </c>
      <c r="H77">
        <f t="shared" si="16"/>
        <v>7.8286738226544426</v>
      </c>
      <c r="I77">
        <f t="shared" si="17"/>
        <v>18</v>
      </c>
      <c r="J77">
        <f t="shared" si="18"/>
        <v>5</v>
      </c>
      <c r="K77">
        <f t="shared" si="19"/>
        <v>2</v>
      </c>
      <c r="L77">
        <f t="shared" si="20"/>
        <v>0.32055555555555548</v>
      </c>
      <c r="M77">
        <f t="shared" si="21"/>
        <v>1.5681577777777775</v>
      </c>
      <c r="N77">
        <f t="shared" si="22"/>
        <v>8.6127527115433313</v>
      </c>
    </row>
    <row r="78" spans="6:14" x14ac:dyDescent="0.25">
      <c r="F78">
        <v>74</v>
      </c>
      <c r="G78">
        <f t="shared" si="15"/>
        <v>12.24</v>
      </c>
      <c r="H78">
        <f t="shared" si="16"/>
        <v>7.8222778473091372</v>
      </c>
      <c r="I78">
        <f t="shared" si="17"/>
        <v>18</v>
      </c>
      <c r="J78">
        <f t="shared" si="18"/>
        <v>5</v>
      </c>
      <c r="K78">
        <f t="shared" si="19"/>
        <v>2</v>
      </c>
      <c r="L78">
        <f t="shared" si="20"/>
        <v>0.31999999999999995</v>
      </c>
      <c r="M78">
        <f t="shared" si="21"/>
        <v>1.5667199999999997</v>
      </c>
      <c r="N78">
        <f t="shared" si="22"/>
        <v>8.6056378473091364</v>
      </c>
    </row>
    <row r="79" spans="6:14" x14ac:dyDescent="0.25">
      <c r="F79">
        <v>75</v>
      </c>
      <c r="G79">
        <f t="shared" si="15"/>
        <v>12.25</v>
      </c>
      <c r="H79">
        <f t="shared" si="16"/>
        <v>7.815892314372558</v>
      </c>
      <c r="I79">
        <f t="shared" si="17"/>
        <v>18</v>
      </c>
      <c r="J79">
        <f t="shared" si="18"/>
        <v>5</v>
      </c>
      <c r="K79">
        <f t="shared" si="19"/>
        <v>2</v>
      </c>
      <c r="L79">
        <f t="shared" si="20"/>
        <v>0.31944444444444442</v>
      </c>
      <c r="M79">
        <f t="shared" si="21"/>
        <v>1.5652777777777778</v>
      </c>
      <c r="N79">
        <f t="shared" si="22"/>
        <v>8.5985312032614463</v>
      </c>
    </row>
    <row r="80" spans="6:14" x14ac:dyDescent="0.25">
      <c r="F80">
        <v>76</v>
      </c>
      <c r="G80">
        <f t="shared" si="15"/>
        <v>12.26</v>
      </c>
      <c r="H80">
        <f t="shared" si="16"/>
        <v>7.8095171982923191</v>
      </c>
      <c r="I80">
        <f t="shared" si="17"/>
        <v>18</v>
      </c>
      <c r="J80">
        <f t="shared" si="18"/>
        <v>5</v>
      </c>
      <c r="K80">
        <f t="shared" si="19"/>
        <v>2</v>
      </c>
      <c r="L80">
        <f t="shared" si="20"/>
        <v>0.31888888888888889</v>
      </c>
      <c r="M80">
        <f t="shared" si="21"/>
        <v>1.5638311111111112</v>
      </c>
      <c r="N80">
        <f t="shared" si="22"/>
        <v>8.5914327538478741</v>
      </c>
    </row>
    <row r="81" spans="6:14" x14ac:dyDescent="0.25">
      <c r="F81">
        <v>77</v>
      </c>
      <c r="G81">
        <f t="shared" si="15"/>
        <v>12.27</v>
      </c>
      <c r="H81">
        <f t="shared" si="16"/>
        <v>7.8031524735993347</v>
      </c>
      <c r="I81">
        <f t="shared" si="17"/>
        <v>18</v>
      </c>
      <c r="J81">
        <f t="shared" si="18"/>
        <v>5</v>
      </c>
      <c r="K81">
        <f t="shared" si="19"/>
        <v>2</v>
      </c>
      <c r="L81">
        <f t="shared" si="20"/>
        <v>0.31833333333333336</v>
      </c>
      <c r="M81">
        <f t="shared" si="21"/>
        <v>1.5623800000000001</v>
      </c>
      <c r="N81">
        <f t="shared" si="22"/>
        <v>8.5843424735993352</v>
      </c>
    </row>
    <row r="82" spans="6:14" x14ac:dyDescent="0.25">
      <c r="F82">
        <v>78</v>
      </c>
      <c r="G82">
        <f t="shared" si="15"/>
        <v>12.28</v>
      </c>
      <c r="H82">
        <f t="shared" si="16"/>
        <v>7.796798114907479</v>
      </c>
      <c r="I82">
        <f t="shared" si="17"/>
        <v>18</v>
      </c>
      <c r="J82">
        <f t="shared" si="18"/>
        <v>5</v>
      </c>
      <c r="K82">
        <f t="shared" si="19"/>
        <v>2</v>
      </c>
      <c r="L82">
        <f t="shared" si="20"/>
        <v>0.31777777777777783</v>
      </c>
      <c r="M82">
        <f t="shared" si="21"/>
        <v>1.5609244444444446</v>
      </c>
      <c r="N82">
        <f t="shared" si="22"/>
        <v>8.5772603371297009</v>
      </c>
    </row>
    <row r="83" spans="6:14" x14ac:dyDescent="0.25">
      <c r="F83">
        <v>79</v>
      </c>
      <c r="G83">
        <f t="shared" si="15"/>
        <v>12.29</v>
      </c>
      <c r="H83">
        <f t="shared" si="16"/>
        <v>7.7904540969132503</v>
      </c>
      <c r="I83">
        <f t="shared" si="17"/>
        <v>18</v>
      </c>
      <c r="J83">
        <f t="shared" si="18"/>
        <v>5</v>
      </c>
      <c r="K83">
        <f t="shared" si="19"/>
        <v>2</v>
      </c>
      <c r="L83">
        <f t="shared" si="20"/>
        <v>0.31722222222222229</v>
      </c>
      <c r="M83">
        <f t="shared" si="21"/>
        <v>1.5594644444444445</v>
      </c>
      <c r="N83">
        <f t="shared" si="22"/>
        <v>8.5701863191354732</v>
      </c>
    </row>
    <row r="84" spans="6:14" x14ac:dyDescent="0.25">
      <c r="F84">
        <v>80</v>
      </c>
      <c r="G84">
        <f t="shared" si="15"/>
        <v>12.3</v>
      </c>
      <c r="H84">
        <f t="shared" si="16"/>
        <v>7.7841203943954334</v>
      </c>
      <c r="I84">
        <f t="shared" si="17"/>
        <v>18</v>
      </c>
      <c r="J84">
        <f t="shared" si="18"/>
        <v>5</v>
      </c>
      <c r="K84">
        <f t="shared" si="19"/>
        <v>2</v>
      </c>
      <c r="L84">
        <f t="shared" si="20"/>
        <v>0.31666666666666665</v>
      </c>
      <c r="M84">
        <f t="shared" si="21"/>
        <v>1.5580000000000001</v>
      </c>
      <c r="N84">
        <f t="shared" si="22"/>
        <v>8.5631203943954333</v>
      </c>
    </row>
    <row r="85" spans="6:14" x14ac:dyDescent="0.25">
      <c r="F85">
        <v>81</v>
      </c>
      <c r="G85">
        <f t="shared" si="15"/>
        <v>12.31</v>
      </c>
      <c r="H85">
        <f t="shared" si="16"/>
        <v>7.7777969822147703</v>
      </c>
      <c r="I85">
        <f t="shared" si="17"/>
        <v>18</v>
      </c>
      <c r="J85">
        <f t="shared" si="18"/>
        <v>5</v>
      </c>
      <c r="K85">
        <f t="shared" si="19"/>
        <v>2</v>
      </c>
      <c r="L85">
        <f t="shared" si="20"/>
        <v>0.31611111111111112</v>
      </c>
      <c r="M85">
        <f t="shared" si="21"/>
        <v>1.5565311111111113</v>
      </c>
      <c r="N85">
        <f t="shared" si="22"/>
        <v>8.5560625377703268</v>
      </c>
    </row>
    <row r="86" spans="6:14" x14ac:dyDescent="0.25">
      <c r="F86">
        <v>82</v>
      </c>
      <c r="G86">
        <f t="shared" si="15"/>
        <v>12.32</v>
      </c>
      <c r="H86">
        <f t="shared" si="16"/>
        <v>7.7714838353136226</v>
      </c>
      <c r="I86">
        <f t="shared" si="17"/>
        <v>18</v>
      </c>
      <c r="J86">
        <f t="shared" si="18"/>
        <v>5</v>
      </c>
      <c r="K86">
        <f t="shared" si="19"/>
        <v>2</v>
      </c>
      <c r="L86">
        <f t="shared" si="20"/>
        <v>0.31555555555555559</v>
      </c>
      <c r="M86">
        <f t="shared" si="21"/>
        <v>1.5550577777777781</v>
      </c>
      <c r="N86">
        <f t="shared" si="22"/>
        <v>8.5490127242025125</v>
      </c>
    </row>
    <row r="87" spans="6:14" x14ac:dyDescent="0.25">
      <c r="F87">
        <v>83</v>
      </c>
      <c r="G87">
        <f t="shared" si="15"/>
        <v>12.33</v>
      </c>
      <c r="H87">
        <f t="shared" si="16"/>
        <v>7.7651809287156395</v>
      </c>
      <c r="I87">
        <f t="shared" si="17"/>
        <v>18</v>
      </c>
      <c r="J87">
        <f t="shared" si="18"/>
        <v>5</v>
      </c>
      <c r="K87">
        <f t="shared" si="19"/>
        <v>2</v>
      </c>
      <c r="L87">
        <f t="shared" si="20"/>
        <v>0.31499999999999995</v>
      </c>
      <c r="M87">
        <f t="shared" si="21"/>
        <v>1.5535799999999997</v>
      </c>
      <c r="N87">
        <f t="shared" si="22"/>
        <v>8.5419709287156387</v>
      </c>
    </row>
    <row r="88" spans="6:14" x14ac:dyDescent="0.25">
      <c r="F88">
        <v>84</v>
      </c>
      <c r="G88">
        <f t="shared" si="15"/>
        <v>12.34</v>
      </c>
      <c r="H88">
        <f t="shared" si="16"/>
        <v>7.7588882375254329</v>
      </c>
      <c r="I88">
        <f t="shared" si="17"/>
        <v>18</v>
      </c>
      <c r="J88">
        <f t="shared" si="18"/>
        <v>5</v>
      </c>
      <c r="K88">
        <f t="shared" si="19"/>
        <v>2</v>
      </c>
      <c r="L88">
        <f t="shared" si="20"/>
        <v>0.31444444444444442</v>
      </c>
      <c r="M88">
        <f t="shared" si="21"/>
        <v>1.5520977777777776</v>
      </c>
      <c r="N88">
        <f t="shared" si="22"/>
        <v>8.5349371264143219</v>
      </c>
    </row>
    <row r="89" spans="6:14" x14ac:dyDescent="0.25">
      <c r="F89">
        <v>85</v>
      </c>
      <c r="G89">
        <f t="shared" si="15"/>
        <v>12.35</v>
      </c>
      <c r="H89">
        <f t="shared" si="16"/>
        <v>7.7526057369282464</v>
      </c>
      <c r="I89">
        <f t="shared" si="17"/>
        <v>18</v>
      </c>
      <c r="J89">
        <f t="shared" si="18"/>
        <v>5</v>
      </c>
      <c r="K89">
        <f t="shared" si="19"/>
        <v>2</v>
      </c>
      <c r="L89">
        <f t="shared" si="20"/>
        <v>0.31388888888888888</v>
      </c>
      <c r="M89">
        <f t="shared" si="21"/>
        <v>1.5506111111111109</v>
      </c>
      <c r="N89">
        <f t="shared" si="22"/>
        <v>8.5279112924838021</v>
      </c>
    </row>
    <row r="90" spans="6:14" x14ac:dyDescent="0.25">
      <c r="F90">
        <v>86</v>
      </c>
      <c r="G90">
        <f t="shared" si="15"/>
        <v>12.36</v>
      </c>
      <c r="H90">
        <f t="shared" si="16"/>
        <v>7.7463334021896308</v>
      </c>
      <c r="I90">
        <f t="shared" si="17"/>
        <v>18</v>
      </c>
      <c r="J90">
        <f t="shared" si="18"/>
        <v>5</v>
      </c>
      <c r="K90">
        <f t="shared" si="19"/>
        <v>2</v>
      </c>
      <c r="L90">
        <f t="shared" si="20"/>
        <v>0.31333333333333335</v>
      </c>
      <c r="M90">
        <f t="shared" si="21"/>
        <v>1.5491200000000001</v>
      </c>
      <c r="N90">
        <f t="shared" si="22"/>
        <v>8.5208934021896301</v>
      </c>
    </row>
    <row r="91" spans="6:14" x14ac:dyDescent="0.25">
      <c r="F91">
        <v>87</v>
      </c>
      <c r="G91">
        <f t="shared" si="15"/>
        <v>12.37</v>
      </c>
      <c r="H91">
        <f t="shared" si="16"/>
        <v>7.7400712086551202</v>
      </c>
      <c r="I91">
        <f t="shared" si="17"/>
        <v>18</v>
      </c>
      <c r="J91">
        <f t="shared" si="18"/>
        <v>5</v>
      </c>
      <c r="K91">
        <f t="shared" si="19"/>
        <v>2</v>
      </c>
      <c r="L91">
        <f t="shared" si="20"/>
        <v>0.31277777777777782</v>
      </c>
      <c r="M91">
        <f t="shared" si="21"/>
        <v>1.5476244444444445</v>
      </c>
      <c r="N91">
        <f t="shared" si="22"/>
        <v>8.5138834308773426</v>
      </c>
    </row>
    <row r="92" spans="6:14" x14ac:dyDescent="0.25">
      <c r="F92">
        <v>88</v>
      </c>
      <c r="G92">
        <f t="shared" si="15"/>
        <v>12.38</v>
      </c>
      <c r="H92">
        <f t="shared" si="16"/>
        <v>7.7338191317499057</v>
      </c>
      <c r="I92">
        <f t="shared" si="17"/>
        <v>18</v>
      </c>
      <c r="J92">
        <f t="shared" si="18"/>
        <v>5</v>
      </c>
      <c r="K92">
        <f t="shared" si="19"/>
        <v>2</v>
      </c>
      <c r="L92">
        <f t="shared" si="20"/>
        <v>0.31222222222222218</v>
      </c>
      <c r="M92">
        <f t="shared" si="21"/>
        <v>1.5461244444444442</v>
      </c>
      <c r="N92">
        <f t="shared" si="22"/>
        <v>8.506881353972128</v>
      </c>
    </row>
    <row r="93" spans="6:14" x14ac:dyDescent="0.25">
      <c r="F93">
        <v>89</v>
      </c>
      <c r="G93">
        <f t="shared" si="15"/>
        <v>12.39</v>
      </c>
      <c r="H93">
        <f t="shared" si="16"/>
        <v>7.7275771469785175</v>
      </c>
      <c r="I93">
        <f t="shared" si="17"/>
        <v>18</v>
      </c>
      <c r="J93">
        <f t="shared" si="18"/>
        <v>5</v>
      </c>
      <c r="K93">
        <f t="shared" si="19"/>
        <v>2</v>
      </c>
      <c r="L93">
        <f t="shared" si="20"/>
        <v>0.31166666666666665</v>
      </c>
      <c r="M93">
        <f t="shared" si="21"/>
        <v>1.5446199999999999</v>
      </c>
      <c r="N93">
        <f t="shared" si="22"/>
        <v>8.4998871469785175</v>
      </c>
    </row>
    <row r="94" spans="6:14" x14ac:dyDescent="0.25">
      <c r="F94">
        <v>90</v>
      </c>
      <c r="G94">
        <f t="shared" si="15"/>
        <v>12.4</v>
      </c>
      <c r="H94">
        <f t="shared" si="16"/>
        <v>7.7213452299245029</v>
      </c>
      <c r="I94">
        <f t="shared" si="17"/>
        <v>18</v>
      </c>
      <c r="J94">
        <f t="shared" si="18"/>
        <v>5</v>
      </c>
      <c r="K94">
        <f t="shared" si="19"/>
        <v>2</v>
      </c>
      <c r="L94">
        <f t="shared" si="20"/>
        <v>0.31111111111111112</v>
      </c>
      <c r="M94">
        <f t="shared" si="21"/>
        <v>1.5431111111111111</v>
      </c>
      <c r="N94">
        <f t="shared" si="22"/>
        <v>8.4929007854800584</v>
      </c>
    </row>
    <row r="95" spans="6:14" x14ac:dyDescent="0.25">
      <c r="F95">
        <v>91</v>
      </c>
      <c r="G95">
        <f t="shared" si="15"/>
        <v>12.41</v>
      </c>
      <c r="H95">
        <f t="shared" si="16"/>
        <v>7.7151233562501069</v>
      </c>
      <c r="I95">
        <f t="shared" si="17"/>
        <v>18</v>
      </c>
      <c r="J95">
        <f t="shared" si="18"/>
        <v>5</v>
      </c>
      <c r="K95">
        <f t="shared" si="19"/>
        <v>2</v>
      </c>
      <c r="L95">
        <f t="shared" si="20"/>
        <v>0.31055555555555558</v>
      </c>
      <c r="M95">
        <f t="shared" si="21"/>
        <v>1.5415977777777781</v>
      </c>
      <c r="N95">
        <f t="shared" si="22"/>
        <v>8.4859222451389957</v>
      </c>
    </row>
    <row r="96" spans="6:14" x14ac:dyDescent="0.25">
      <c r="F96">
        <v>92</v>
      </c>
      <c r="G96">
        <f t="shared" si="15"/>
        <v>12.42</v>
      </c>
      <c r="H96">
        <f t="shared" si="16"/>
        <v>7.7089115016959608</v>
      </c>
      <c r="I96">
        <f t="shared" si="17"/>
        <v>18</v>
      </c>
      <c r="J96">
        <f t="shared" si="18"/>
        <v>5</v>
      </c>
      <c r="K96">
        <f t="shared" si="19"/>
        <v>2</v>
      </c>
      <c r="L96">
        <f t="shared" si="20"/>
        <v>0.31000000000000005</v>
      </c>
      <c r="M96">
        <f t="shared" si="21"/>
        <v>1.5400800000000001</v>
      </c>
      <c r="N96">
        <f t="shared" si="22"/>
        <v>8.4789515016959616</v>
      </c>
    </row>
    <row r="97" spans="6:14" x14ac:dyDescent="0.25">
      <c r="F97">
        <v>93</v>
      </c>
      <c r="G97">
        <f t="shared" si="15"/>
        <v>12.43</v>
      </c>
      <c r="H97">
        <f t="shared" si="16"/>
        <v>7.7027096420807597</v>
      </c>
      <c r="I97">
        <f t="shared" si="17"/>
        <v>18</v>
      </c>
      <c r="J97">
        <f t="shared" si="18"/>
        <v>5</v>
      </c>
      <c r="K97">
        <f t="shared" si="19"/>
        <v>2</v>
      </c>
      <c r="L97">
        <f t="shared" si="20"/>
        <v>0.30944444444444441</v>
      </c>
      <c r="M97">
        <f t="shared" si="21"/>
        <v>1.5385577777777777</v>
      </c>
      <c r="N97">
        <f t="shared" si="22"/>
        <v>8.4719885309696483</v>
      </c>
    </row>
    <row r="98" spans="6:14" x14ac:dyDescent="0.25">
      <c r="F98">
        <v>94</v>
      </c>
      <c r="G98">
        <f t="shared" si="15"/>
        <v>12.44</v>
      </c>
      <c r="H98">
        <f t="shared" si="16"/>
        <v>7.6965177533009523</v>
      </c>
      <c r="I98">
        <f t="shared" si="17"/>
        <v>18</v>
      </c>
      <c r="J98">
        <f t="shared" si="18"/>
        <v>5</v>
      </c>
      <c r="K98">
        <f t="shared" si="19"/>
        <v>2</v>
      </c>
      <c r="L98">
        <f t="shared" si="20"/>
        <v>0.30888888888888888</v>
      </c>
      <c r="M98">
        <f t="shared" si="21"/>
        <v>1.537031111111111</v>
      </c>
      <c r="N98">
        <f t="shared" si="22"/>
        <v>8.4650333088565084</v>
      </c>
    </row>
    <row r="99" spans="6:14" x14ac:dyDescent="0.25">
      <c r="F99">
        <v>95</v>
      </c>
      <c r="G99">
        <f t="shared" si="15"/>
        <v>12.45</v>
      </c>
      <c r="H99">
        <f t="shared" si="16"/>
        <v>7.6903358113304288</v>
      </c>
      <c r="I99">
        <f t="shared" si="17"/>
        <v>18</v>
      </c>
      <c r="J99">
        <f t="shared" si="18"/>
        <v>5</v>
      </c>
      <c r="K99">
        <f t="shared" si="19"/>
        <v>2</v>
      </c>
      <c r="L99">
        <f t="shared" si="20"/>
        <v>0.30833333333333335</v>
      </c>
      <c r="M99">
        <f t="shared" si="21"/>
        <v>1.5355000000000001</v>
      </c>
      <c r="N99">
        <f t="shared" si="22"/>
        <v>8.4580858113304291</v>
      </c>
    </row>
    <row r="100" spans="6:14" x14ac:dyDescent="0.25">
      <c r="F100">
        <v>96</v>
      </c>
      <c r="G100">
        <f t="shared" ref="G100:G104" si="23">$B$4+(F100*$B$8)</f>
        <v>12.46</v>
      </c>
      <c r="H100">
        <f t="shared" ref="H100:H104" si="24">(I100*J100)/(G100*eta)</f>
        <v>7.6841637922202111</v>
      </c>
      <c r="I100">
        <f t="shared" si="17"/>
        <v>18</v>
      </c>
      <c r="J100">
        <f t="shared" si="18"/>
        <v>5</v>
      </c>
      <c r="K100">
        <f t="shared" si="19"/>
        <v>2</v>
      </c>
      <c r="L100">
        <f t="shared" ref="L100:L104" si="25">CHOOSE(K100,SQRT((2*Lm*fsw(I100-G100)*((I100*J100)/G100))/(I100*G100)),(1-(G100/I100)))</f>
        <v>0.30777777777777771</v>
      </c>
      <c r="M100">
        <f t="shared" ref="M100:M104" si="26">G100*L100/(Lm*fsw)</f>
        <v>1.5339644444444442</v>
      </c>
      <c r="N100">
        <f t="shared" si="22"/>
        <v>8.4511460144424326</v>
      </c>
    </row>
    <row r="101" spans="6:14" x14ac:dyDescent="0.25">
      <c r="F101">
        <v>97</v>
      </c>
      <c r="G101">
        <f t="shared" si="23"/>
        <v>12.47</v>
      </c>
      <c r="H101">
        <f t="shared" si="24"/>
        <v>7.6780016720981417</v>
      </c>
      <c r="I101">
        <f t="shared" si="17"/>
        <v>18</v>
      </c>
      <c r="J101">
        <f t="shared" si="18"/>
        <v>5</v>
      </c>
      <c r="K101">
        <f t="shared" si="19"/>
        <v>2</v>
      </c>
      <c r="L101">
        <f t="shared" si="25"/>
        <v>0.30722222222222217</v>
      </c>
      <c r="M101">
        <f t="shared" si="26"/>
        <v>1.5324244444444441</v>
      </c>
      <c r="N101">
        <f t="shared" si="22"/>
        <v>8.4442138943203631</v>
      </c>
    </row>
    <row r="102" spans="6:14" x14ac:dyDescent="0.25">
      <c r="F102">
        <v>98</v>
      </c>
      <c r="G102">
        <f t="shared" si="23"/>
        <v>12.48</v>
      </c>
      <c r="H102">
        <f t="shared" si="24"/>
        <v>7.6718494271685769</v>
      </c>
      <c r="I102">
        <f t="shared" si="17"/>
        <v>18</v>
      </c>
      <c r="J102">
        <f t="shared" si="18"/>
        <v>5</v>
      </c>
      <c r="K102">
        <f t="shared" si="19"/>
        <v>2</v>
      </c>
      <c r="L102">
        <f t="shared" si="25"/>
        <v>0.30666666666666664</v>
      </c>
      <c r="M102">
        <f t="shared" si="26"/>
        <v>1.53088</v>
      </c>
      <c r="N102">
        <f t="shared" si="22"/>
        <v>8.4372894271685777</v>
      </c>
    </row>
    <row r="103" spans="6:14" x14ac:dyDescent="0.25">
      <c r="F103">
        <v>99</v>
      </c>
      <c r="G103">
        <f t="shared" si="23"/>
        <v>12.49</v>
      </c>
      <c r="H103">
        <f t="shared" si="24"/>
        <v>7.665707033712077</v>
      </c>
      <c r="I103">
        <f t="shared" si="17"/>
        <v>18</v>
      </c>
      <c r="J103">
        <f t="shared" si="18"/>
        <v>5</v>
      </c>
      <c r="K103">
        <f t="shared" si="19"/>
        <v>2</v>
      </c>
      <c r="L103">
        <f t="shared" si="25"/>
        <v>0.30611111111111111</v>
      </c>
      <c r="M103">
        <f t="shared" si="26"/>
        <v>1.529331111111111</v>
      </c>
      <c r="N103">
        <f t="shared" si="22"/>
        <v>8.4303725892676322</v>
      </c>
    </row>
    <row r="104" spans="6:14" x14ac:dyDescent="0.25">
      <c r="F104">
        <v>100</v>
      </c>
      <c r="G104">
        <f t="shared" si="23"/>
        <v>12.5</v>
      </c>
      <c r="H104">
        <f t="shared" si="24"/>
        <v>7.6595744680851068</v>
      </c>
      <c r="I104">
        <f t="shared" si="17"/>
        <v>18</v>
      </c>
      <c r="J104">
        <f t="shared" si="18"/>
        <v>5</v>
      </c>
      <c r="K104">
        <f t="shared" si="19"/>
        <v>2</v>
      </c>
      <c r="L104">
        <f t="shared" si="25"/>
        <v>0.30555555555555558</v>
      </c>
      <c r="M104">
        <f t="shared" si="26"/>
        <v>1.5277777777777779</v>
      </c>
      <c r="N104">
        <f t="shared" si="22"/>
        <v>8.4234633569739952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124</vt:i4>
      </vt:variant>
    </vt:vector>
  </HeadingPairs>
  <TitlesOfParts>
    <vt:vector size="133" baseType="lpstr">
      <vt:lpstr>LM5122_Quickstart</vt:lpstr>
      <vt:lpstr>Licenses</vt:lpstr>
      <vt:lpstr>Eff_vs_IOUT</vt:lpstr>
      <vt:lpstr>Eff_vs_VIN</vt:lpstr>
      <vt:lpstr>Plot Management</vt:lpstr>
      <vt:lpstr>Calculations</vt:lpstr>
      <vt:lpstr>EC_Table</vt:lpstr>
      <vt:lpstr>Control_Loop_Tables</vt:lpstr>
      <vt:lpstr>Tables_VS_VIN</vt:lpstr>
      <vt:lpstr>ACS</vt:lpstr>
      <vt:lpstr>adc</vt:lpstr>
      <vt:lpstr>adc_ea</vt:lpstr>
      <vt:lpstr>ADC_VINmin</vt:lpstr>
      <vt:lpstr>arCss</vt:lpstr>
      <vt:lpstr>aRUV_lower</vt:lpstr>
      <vt:lpstr>aRUV_upper</vt:lpstr>
      <vt:lpstr>aRUV_upper_SEL</vt:lpstr>
      <vt:lpstr>aTSSmax</vt:lpstr>
      <vt:lpstr>Ccomp</vt:lpstr>
      <vt:lpstr>Ccomp_S</vt:lpstr>
      <vt:lpstr>CHF</vt:lpstr>
      <vt:lpstr>CHF_S</vt:lpstr>
      <vt:lpstr>COUT</vt:lpstr>
      <vt:lpstr>DC_VIN_var_DCM</vt:lpstr>
      <vt:lpstr>EFF_est</vt:lpstr>
      <vt:lpstr>EFF_IOUT</vt:lpstr>
      <vt:lpstr>EFF_VIN</vt:lpstr>
      <vt:lpstr>eta</vt:lpstr>
      <vt:lpstr>Fco_calc</vt:lpstr>
      <vt:lpstr>Fcross</vt:lpstr>
      <vt:lpstr>fp_lf_VINmin</vt:lpstr>
      <vt:lpstr>fsw</vt:lpstr>
      <vt:lpstr>fz_esr_VINmin</vt:lpstr>
      <vt:lpstr>fz_rhp_VINmin</vt:lpstr>
      <vt:lpstr>Gcomp</vt:lpstr>
      <vt:lpstr>gfs</vt:lpstr>
      <vt:lpstr>Graph_Text</vt:lpstr>
      <vt:lpstr>IHYS</vt:lpstr>
      <vt:lpstr>IHYSmin</vt:lpstr>
      <vt:lpstr>IOUT</vt:lpstr>
      <vt:lpstr>IOUT_np</vt:lpstr>
      <vt:lpstr>IOUT_vari</vt:lpstr>
      <vt:lpstr>IQ</vt:lpstr>
      <vt:lpstr>Isl</vt:lpstr>
      <vt:lpstr>ISS</vt:lpstr>
      <vt:lpstr>k_slope_selected</vt:lpstr>
      <vt:lpstr>Kd</vt:lpstr>
      <vt:lpstr>Kd_VINmin</vt:lpstr>
      <vt:lpstr>kex</vt:lpstr>
      <vt:lpstr>Kex_VINmin</vt:lpstr>
      <vt:lpstr>km</vt:lpstr>
      <vt:lpstr>Km_VINmin</vt:lpstr>
      <vt:lpstr>Lm</vt:lpstr>
      <vt:lpstr>LO</vt:lpstr>
      <vt:lpstr>M_LIMIT</vt:lpstr>
      <vt:lpstr>np</vt:lpstr>
      <vt:lpstr>pTSSmin</vt:lpstr>
      <vt:lpstr>Q</vt:lpstr>
      <vt:lpstr>Q_VINmin</vt:lpstr>
      <vt:lpstr>Qg_tot</vt:lpstr>
      <vt:lpstr>Qg_tot_HS</vt:lpstr>
      <vt:lpstr>Qgd</vt:lpstr>
      <vt:lpstr>Qgs</vt:lpstr>
      <vt:lpstr>Qrr</vt:lpstr>
      <vt:lpstr>R_RT</vt:lpstr>
      <vt:lpstr>R_sl</vt:lpstr>
      <vt:lpstr>Rcomp</vt:lpstr>
      <vt:lpstr>Rcomp_S</vt:lpstr>
      <vt:lpstr>Rcs</vt:lpstr>
      <vt:lpstr>rCss</vt:lpstr>
      <vt:lpstr>Rdcr</vt:lpstr>
      <vt:lpstr>RDS_on</vt:lpstr>
      <vt:lpstr>RDS_on_HS</vt:lpstr>
      <vt:lpstr>RESR</vt:lpstr>
      <vt:lpstr>RFB_BOT</vt:lpstr>
      <vt:lpstr>RFB_BOT_S</vt:lpstr>
      <vt:lpstr>RFB_TOP</vt:lpstr>
      <vt:lpstr>RFBB</vt:lpstr>
      <vt:lpstr>RFBT</vt:lpstr>
      <vt:lpstr>Rgate</vt:lpstr>
      <vt:lpstr>RHP_freq</vt:lpstr>
      <vt:lpstr>RR</vt:lpstr>
      <vt:lpstr>Rsl_int</vt:lpstr>
      <vt:lpstr>Rslope</vt:lpstr>
      <vt:lpstr>RUV_lower</vt:lpstr>
      <vt:lpstr>RUV_upper</vt:lpstr>
      <vt:lpstr>RUV_upper_SEL</vt:lpstr>
      <vt:lpstr>Se</vt:lpstr>
      <vt:lpstr>Se_VINmin</vt:lpstr>
      <vt:lpstr>Sn</vt:lpstr>
      <vt:lpstr>Sn_VINmin</vt:lpstr>
      <vt:lpstr>t_dead</vt:lpstr>
      <vt:lpstr>tf_sw</vt:lpstr>
      <vt:lpstr>tr_sw</vt:lpstr>
      <vt:lpstr>TSSmax</vt:lpstr>
      <vt:lpstr>TSSmin</vt:lpstr>
      <vt:lpstr>UVLO_OFF</vt:lpstr>
      <vt:lpstr>UVLO_ON</vt:lpstr>
      <vt:lpstr>UVth</vt:lpstr>
      <vt:lpstr>Uvthmin</vt:lpstr>
      <vt:lpstr>VCC</vt:lpstr>
      <vt:lpstr>VCL</vt:lpstr>
      <vt:lpstr>Vd_rect</vt:lpstr>
      <vt:lpstr>VHYS</vt:lpstr>
      <vt:lpstr>VIN_MAX</vt:lpstr>
      <vt:lpstr>VIN_MIN</vt:lpstr>
      <vt:lpstr>VIN_TYP</vt:lpstr>
      <vt:lpstr>Vin_vari</vt:lpstr>
      <vt:lpstr>VINSHUTDOWN</vt:lpstr>
      <vt:lpstr>VINSTARTUP</vt:lpstr>
      <vt:lpstr>VOUT</vt:lpstr>
      <vt:lpstr>VOUT_VAR</vt:lpstr>
      <vt:lpstr>VREF</vt:lpstr>
      <vt:lpstr>Vsl</vt:lpstr>
      <vt:lpstr>Vslo</vt:lpstr>
      <vt:lpstr>vth</vt:lpstr>
      <vt:lpstr>w_p_low</vt:lpstr>
      <vt:lpstr>w_RHP</vt:lpstr>
      <vt:lpstr>w_Z_ESR</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PPD-NPS</dc:creator>
  <cp:lastModifiedBy>Apolline Parrot</cp:lastModifiedBy>
  <dcterms:created xsi:type="dcterms:W3CDTF">2017-07-24T22:43:07Z</dcterms:created>
  <dcterms:modified xsi:type="dcterms:W3CDTF">2025-05-15T21:49:44Z</dcterms:modified>
</cp:coreProperties>
</file>